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" sheetId="1" state="visible" r:id="rId1"/>
    <sheet name="Centros" sheetId="2" state="visible" r:id="rId2"/>
    <sheet name="Unidades" sheetId="3" state="visible" r:id="rId3"/>
    <sheet name="Clientes" sheetId="4" state="visible" r:id="rId4"/>
    <sheet name="Contratos" sheetId="5" state="visible" r:id="rId5"/>
    <sheet name="Cobros" sheetId="6" state="visible" r:id="rId6"/>
    <sheet name="Listas" sheetId="7" state="visible" r:id="rId7"/>
  </sheets>
  <definedNames>
    <definedName name="ListaCentros">Listas!$A$5:$A$8</definedName>
    <definedName name="ListaEstadosUnidad">Listas!$B$5:$B$8</definedName>
    <definedName name="ListaTiposCliente">Listas!$C$5:$C$6</definedName>
    <definedName name="ListaEstadosCliente">Listas!$D$5:$D$6</definedName>
    <definedName name="ListaEstadosContrato">Listas!$E$5:$E$8</definedName>
    <definedName name="ListaMetodosCobro">Listas!$F$5:$F$8</definedName>
    <definedName name="ListaEstadosCobro">Listas!$G$5:$G$7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 &quot;m²&quot;"/>
    <numFmt numFmtId="166" formatCode="#,##0.00 &quot;€&quot;"/>
    <numFmt numFmtId="167" formatCode="0.0%"/>
  </numFmts>
  <fonts count="19">
    <font>
      <name val="Calibri"/>
      <family val="2"/>
      <color theme="1"/>
      <sz val="11"/>
      <scheme val="minor"/>
    </font>
    <font>
      <name val="Segoe UI"/>
      <b val="1"/>
      <color rgb="FF0284C7"/>
      <sz val="10"/>
    </font>
    <font>
      <name val="Segoe UI"/>
      <i val="1"/>
      <color rgb="FF64748B"/>
      <sz val="9.5"/>
    </font>
    <font>
      <name val="Segoe UI"/>
      <b val="1"/>
      <color rgb="FFFFFFFF"/>
      <sz val="10"/>
    </font>
    <font>
      <name val="Segoe UI"/>
      <color rgb="FF1E293B"/>
      <sz val="10"/>
    </font>
    <font>
      <name val="Segoe UI"/>
      <b val="1"/>
      <color rgb="FF1E293B"/>
      <sz val="11"/>
    </font>
    <font>
      <name val="Segoe UI"/>
      <b val="1"/>
      <color rgb="FF1E293B"/>
      <sz val="10"/>
    </font>
    <font>
      <name val="Segoe UI"/>
      <b val="1"/>
      <color rgb="FF166534"/>
      <sz val="9.5"/>
    </font>
    <font>
      <name val="Segoe UI"/>
      <b val="1"/>
      <color rgb="FF38BDF8"/>
      <sz val="10"/>
    </font>
    <font>
      <name val="Segoe UI"/>
      <b val="1"/>
      <color rgb="FF0369A1"/>
      <sz val="9.5"/>
    </font>
    <font>
      <name val="Segoe UI"/>
      <color rgb="FF0369A1"/>
      <sz val="10"/>
    </font>
    <font>
      <name val="Segoe UI"/>
      <b val="1"/>
      <color rgb="FF92400E"/>
      <sz val="9.5"/>
    </font>
    <font>
      <name val="Segoe UI"/>
      <color rgb="FF475569"/>
      <sz val="9.5"/>
    </font>
    <font>
      <name val="Segoe UI"/>
      <b val="1"/>
      <color rgb="FF0F172A"/>
      <sz val="15"/>
    </font>
    <font>
      <name val="Segoe UI"/>
      <b val="1"/>
      <color rgb="FF64748B"/>
      <sz val="8.5"/>
    </font>
    <font>
      <name val="Segoe UI"/>
      <b val="1"/>
      <color rgb="FF0F172A"/>
      <sz val="16"/>
    </font>
    <font>
      <name val="Segoe UI"/>
      <i val="1"/>
      <color rgb="FF94A3B8"/>
      <sz val="8"/>
    </font>
    <font>
      <name val="Segoe UI"/>
      <b val="1"/>
      <color rgb="FF0F172A"/>
      <sz val="10"/>
    </font>
    <font>
      <name val="Segoe UI"/>
      <i val="1"/>
      <color rgb="FF64748B"/>
      <sz val="9"/>
    </font>
  </fonts>
  <fills count="11">
    <fill>
      <patternFill/>
    </fill>
    <fill>
      <patternFill patternType="gray125"/>
    </fill>
    <fill>
      <patternFill patternType="solid">
        <fgColor rgb="FF1E293B"/>
        <bgColor rgb="FF1E293B"/>
      </patternFill>
    </fill>
    <fill>
      <patternFill patternType="solid">
        <fgColor rgb="FFFFFFFF"/>
        <bgColor rgb="FFFFFFFF"/>
      </patternFill>
    </fill>
    <fill>
      <patternFill patternType="solid">
        <fgColor rgb="FF334155"/>
        <bgColor rgb="FF334155"/>
      </patternFill>
    </fill>
    <fill>
      <patternFill patternType="solid">
        <fgColor rgb="FFF8FAFC"/>
        <bgColor rgb="FFF8FAFC"/>
      </patternFill>
    </fill>
    <fill>
      <patternFill patternType="solid">
        <fgColor rgb="FFDCFCE7"/>
        <bgColor rgb="FFDCFCE7"/>
      </patternFill>
    </fill>
    <fill>
      <patternFill patternType="solid">
        <fgColor rgb="FF0F172A"/>
        <bgColor rgb="FF0F172A"/>
      </patternFill>
    </fill>
    <fill>
      <patternFill patternType="solid">
        <fgColor rgb="FFE0F2FE"/>
        <bgColor rgb="FFE0F2FE"/>
      </patternFill>
    </fill>
    <fill>
      <patternFill patternType="solid">
        <fgColor rgb="FFFEF3C7"/>
        <bgColor rgb="FFFEF3C7"/>
      </patternFill>
    </fill>
    <fill>
      <patternFill patternType="solid">
        <fgColor rgb="FFF1F5F9"/>
        <bgColor rgb="FFF1F5F9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medium">
        <color rgb="FF94A3B8"/>
      </top>
      <bottom style="medium">
        <color rgb="FF0F172A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double">
        <color rgb="FF0F172A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pivotButton="0" quotePrefix="0" xfId="0"/>
    <xf numFmtId="0" fontId="13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4" fillId="5" borderId="2" applyAlignment="1" pivotButton="0" quotePrefix="0" xfId="0">
      <alignment horizontal="center" vertical="center"/>
    </xf>
    <xf numFmtId="0" fontId="0" fillId="5" borderId="2" pivotButton="0" quotePrefix="0" xfId="0"/>
    <xf numFmtId="3" fontId="15" fillId="5" borderId="2" applyAlignment="1" pivotButton="0" quotePrefix="0" xfId="0">
      <alignment horizontal="center" vertical="center"/>
    </xf>
    <xf numFmtId="167" fontId="15" fillId="5" borderId="2" applyAlignment="1" pivotButton="0" quotePrefix="0" xfId="0">
      <alignment horizontal="center" vertical="center"/>
    </xf>
    <xf numFmtId="0" fontId="16" fillId="5" borderId="2" applyAlignment="1" pivotButton="0" quotePrefix="0" xfId="0">
      <alignment horizontal="center" vertical="center"/>
    </xf>
    <xf numFmtId="165" fontId="15" fillId="5" borderId="2" applyAlignment="1" pivotButton="0" quotePrefix="0" xfId="0">
      <alignment horizontal="center" vertical="center"/>
    </xf>
    <xf numFmtId="166" fontId="15" fillId="5" borderId="2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/>
    </xf>
    <xf numFmtId="167" fontId="4" fillId="3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right" vertical="center"/>
    </xf>
    <xf numFmtId="166" fontId="4" fillId="3" borderId="2" applyAlignment="1" pivotButton="0" quotePrefix="0" xfId="0">
      <alignment horizontal="right" vertical="center"/>
    </xf>
    <xf numFmtId="0" fontId="6" fillId="5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167" fontId="4" fillId="5" borderId="2" applyAlignment="1" pivotButton="0" quotePrefix="0" xfId="0">
      <alignment horizontal="center" vertical="center"/>
    </xf>
    <xf numFmtId="165" fontId="4" fillId="5" borderId="2" applyAlignment="1" pivotButton="0" quotePrefix="0" xfId="0">
      <alignment horizontal="right" vertical="center"/>
    </xf>
    <xf numFmtId="166" fontId="4" fillId="5" borderId="2" applyAlignment="1" pivotButton="0" quotePrefix="0" xfId="0">
      <alignment horizontal="right" vertical="center"/>
    </xf>
    <xf numFmtId="0" fontId="17" fillId="10" borderId="3" applyAlignment="1" pivotButton="0" quotePrefix="0" xfId="0">
      <alignment horizontal="center" vertical="center"/>
    </xf>
    <xf numFmtId="0" fontId="17" fillId="10" borderId="3" applyAlignment="1" pivotButton="0" quotePrefix="0" xfId="0">
      <alignment horizontal="left" vertical="center"/>
    </xf>
    <xf numFmtId="167" fontId="17" fillId="10" borderId="3" applyAlignment="1" pivotButton="0" quotePrefix="0" xfId="0">
      <alignment horizontal="center" vertical="center"/>
    </xf>
    <xf numFmtId="165" fontId="17" fillId="10" borderId="3" applyAlignment="1" pivotButton="0" quotePrefix="0" xfId="0">
      <alignment horizontal="right" vertical="center"/>
    </xf>
    <xf numFmtId="166" fontId="17" fillId="10" borderId="3" applyAlignment="1" pivotButton="0" quotePrefix="0" xfId="0">
      <alignment horizontal="right" vertical="center"/>
    </xf>
    <xf numFmtId="0" fontId="3" fillId="2" borderId="1" pivotButton="0" quotePrefix="0" xfId="0"/>
    <xf numFmtId="0" fontId="4" fillId="3" borderId="2" pivotButton="0" quotePrefix="0" xfId="0"/>
    <xf numFmtId="0" fontId="18" fillId="3" borderId="2" applyAlignment="1" pivotButton="0" quotePrefix="0" xfId="0">
      <alignment horizontal="left" vertical="center"/>
    </xf>
    <xf numFmtId="0" fontId="4" fillId="5" borderId="2" pivotButton="0" quotePrefix="0" xfId="0"/>
    <xf numFmtId="0" fontId="18" fillId="5" borderId="2" applyAlignment="1" pivotButton="0" quotePrefix="0" xfId="0">
      <alignment horizontal="left" vertical="center"/>
    </xf>
    <xf numFmtId="0" fontId="6" fillId="10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6" borderId="2" applyAlignment="1" pivotButton="0" quotePrefix="0" xfId="0">
      <alignment horizontal="center" vertical="center"/>
    </xf>
    <xf numFmtId="164" fontId="4" fillId="3" borderId="2" applyAlignment="1" pivotButton="0" quotePrefix="0" xfId="0">
      <alignment horizontal="center" vertical="center"/>
    </xf>
    <xf numFmtId="164" fontId="4" fillId="5" borderId="2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9" fillId="8" borderId="2" applyAlignment="1" pivotButton="0" quotePrefix="0" xfId="0">
      <alignment horizontal="center" vertical="center"/>
    </xf>
    <xf numFmtId="3" fontId="10" fillId="3" borderId="2" applyAlignment="1" pivotButton="0" quotePrefix="0" xfId="0">
      <alignment horizontal="center" vertical="center"/>
    </xf>
    <xf numFmtId="3" fontId="10" fillId="5" borderId="2" applyAlignment="1" pivotButton="0" quotePrefix="0" xfId="0">
      <alignment horizontal="center" vertical="center"/>
    </xf>
    <xf numFmtId="0" fontId="11" fillId="9" borderId="2" applyAlignment="1" pivotButton="0" quotePrefix="0" xfId="0">
      <alignment horizontal="center" vertical="center"/>
    </xf>
    <xf numFmtId="0" fontId="12" fillId="10" borderId="2" applyAlignment="1" pivotButton="0" quotePrefix="0" xfId="0">
      <alignment horizontal="center" vertical="center"/>
    </xf>
    <xf numFmtId="165" fontId="4" fillId="3" borderId="2" pivotButton="0" quotePrefix="0" xfId="0"/>
    <xf numFmtId="166" fontId="4" fillId="3" borderId="2" pivotButton="0" quotePrefix="0" xfId="0"/>
    <xf numFmtId="0" fontId="10" fillId="3" borderId="2" applyAlignment="1" pivotButton="0" quotePrefix="0" xfId="0">
      <alignment horizontal="center" vertical="center"/>
    </xf>
    <xf numFmtId="165" fontId="4" fillId="5" borderId="2" pivotButton="0" quotePrefix="0" xfId="0"/>
    <xf numFmtId="166" fontId="4" fillId="5" borderId="2" pivotButton="0" quotePrefix="0" xfId="0"/>
    <xf numFmtId="0" fontId="10" fillId="5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left" vertical="center"/>
    </xf>
    <xf numFmtId="0" fontId="10" fillId="5" borderId="2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6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name val="Segoe UI"/>
        <b val="1"/>
        <color rgb="FF166534"/>
        <sz val="9.5"/>
      </font>
      <fill>
        <patternFill patternType="solid">
          <fgColor rgb="FFDCFCE7"/>
          <bgColor rgb="FFDCFCE7"/>
        </patternFill>
      </fill>
    </dxf>
    <dxf>
      <font>
        <name val="Segoe UI"/>
        <b val="1"/>
        <color rgb="FF92400E"/>
        <sz val="9.5"/>
      </font>
      <fill>
        <patternFill patternType="solid">
          <fgColor rgb="FFFEF3C7"/>
          <bgColor rgb="FFFEF3C7"/>
        </patternFill>
      </fill>
    </dxf>
    <dxf>
      <font>
        <name val="Segoe UI"/>
        <b val="1"/>
        <color rgb="FF0369A1"/>
        <sz val="9.5"/>
      </font>
      <fill>
        <patternFill patternType="solid">
          <fgColor rgb="FFE0F2FE"/>
          <bgColor rgb="FFE0F2FE"/>
        </patternFill>
      </fill>
    </dxf>
    <dxf>
      <font>
        <name val="Segoe UI"/>
        <color rgb="FF475569"/>
        <sz val="9.5"/>
      </font>
      <fill>
        <patternFill patternType="solid">
          <fgColor rgb="FFF1F5F9"/>
          <bgColor rgb="FFF1F5F9"/>
        </patternFill>
      </fill>
    </dxf>
    <dxf>
      <font>
        <name val="Segoe UI"/>
        <b val="1"/>
        <color rgb="FF991B1B"/>
        <sz val="9.5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1E293B"/>
    <outlinePr summaryBelow="1" summaryRight="1"/>
    <pageSetUpPr/>
  </sheetPr>
  <dimension ref="B2:L31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26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6" customWidth="1" min="9" max="9"/>
    <col width="16" customWidth="1" min="10" max="10"/>
    <col width="15" customWidth="1" min="11" max="11"/>
    <col width="22" customWidth="1" min="12" max="12"/>
  </cols>
  <sheetData>
    <row r="2">
      <c r="B2" s="1" t="inlineStr">
        <is>
          <t>GESTIONATRASTEROS · PLANTILLA OPERATIVA DE GESTIÓN</t>
        </is>
      </c>
    </row>
    <row r="3">
      <c r="B3" s="2" t="inlineStr">
        <is>
          <t>Panel de control operativo, ocupación y comprobaciones automáticas de coherencia</t>
        </is>
      </c>
    </row>
    <row r="4">
      <c r="B4" s="3" t="inlineStr">
        <is>
          <t>Indicadores sincronizados en tiempo real con las hojas de Centros, Unidades, Clientes, Contratos y Cobros.</t>
        </is>
      </c>
    </row>
    <row r="6">
      <c r="B6" s="4" t="inlineStr">
        <is>
          <t>1. CAPACIDAD Y OCUPACIÓN GLOBAL</t>
        </is>
      </c>
    </row>
    <row r="7">
      <c r="B7" s="5" t="inlineStr">
        <is>
          <t>INVENTARIO TOTAL</t>
        </is>
      </c>
      <c r="C7" s="6" t="n"/>
      <c r="D7" s="5" t="inlineStr">
        <is>
          <t>CAPACIDAD RENTABLE</t>
        </is>
      </c>
      <c r="E7" s="6" t="n"/>
      <c r="F7" s="5" t="inlineStr">
        <is>
          <t>UNIDADES OCUPADAS</t>
        </is>
      </c>
      <c r="G7" s="6" t="n"/>
      <c r="H7" s="5" t="inlineStr">
        <is>
          <t>UNIDADES DISPONIBLES</t>
        </is>
      </c>
      <c r="I7" s="6" t="n"/>
      <c r="J7" s="5" t="inlineStr">
        <is>
          <t>% OCUPACIÓN (UDS)</t>
        </is>
      </c>
      <c r="K7" s="6" t="n"/>
    </row>
    <row r="8">
      <c r="B8" s="7">
        <f>COUNTA(Unidades!A4:A50)</f>
        <v/>
      </c>
      <c r="C8" s="6" t="n"/>
      <c r="D8" s="7">
        <f>COUNTIF(Unidades!G4:G50,"Disponible")+COUNTIF(Unidades!G4:G50,"Ocupada")</f>
        <v/>
      </c>
      <c r="E8" s="6" t="n"/>
      <c r="F8" s="7">
        <f>COUNTIF(Unidades!G4:G50,"Ocupada")</f>
        <v/>
      </c>
      <c r="G8" s="6" t="n"/>
      <c r="H8" s="7">
        <f>COUNTIF(Unidades!G4:G50,"Disponible")</f>
        <v/>
      </c>
      <c r="I8" s="6" t="n"/>
      <c r="J8" s="8">
        <f>IF(D8&gt;0, F8/D8, 0)</f>
        <v/>
      </c>
      <c r="K8" s="6" t="n"/>
    </row>
    <row r="9">
      <c r="B9" s="9" t="inlineStr">
        <is>
          <t>Trasteros físicos censados</t>
        </is>
      </c>
      <c r="C9" s="6" t="n"/>
      <c r="D9" s="9" t="inlineStr">
        <is>
          <t>Disponible + Ocupada</t>
        </is>
      </c>
      <c r="E9" s="6" t="n"/>
      <c r="F9" s="9" t="inlineStr">
        <is>
          <t>Con contrato activo</t>
        </is>
      </c>
      <c r="G9" s="6" t="n"/>
      <c r="H9" s="9" t="inlineStr">
        <is>
          <t>Listas para comercializar</t>
        </is>
      </c>
      <c r="I9" s="6" t="n"/>
      <c r="J9" s="9" t="inlineStr">
        <is>
          <t>Ocupadas ÷ Rentables</t>
        </is>
      </c>
      <c r="K9" s="6" t="n"/>
    </row>
    <row r="11">
      <c r="B11" s="5" t="inlineStr">
        <is>
          <t>SUPERFICIE RENTABLE</t>
        </is>
      </c>
      <c r="C11" s="6" t="n"/>
      <c r="D11" s="5" t="inlineStr">
        <is>
          <t>SUPERFICIE OCUPADA</t>
        </is>
      </c>
      <c r="E11" s="6" t="n"/>
      <c r="F11" s="5" t="inlineStr">
        <is>
          <t>% OCUPACIÓN (M²)</t>
        </is>
      </c>
      <c r="G11" s="6" t="n"/>
      <c r="H11" s="5" t="inlineStr">
        <is>
          <t>CUOTAS ACTIVAS / MES</t>
        </is>
      </c>
      <c r="I11" s="6" t="n"/>
      <c r="J11" s="5" t="inlineStr">
        <is>
          <t>COBROS REGISTRADOS</t>
        </is>
      </c>
      <c r="K11" s="6" t="n"/>
    </row>
    <row r="12">
      <c r="B12" s="10">
        <f>SUMIF(Unidades!G4:G50,"Disponible",Unidades!E4:E50)+SUMIF(Unidades!G4:G50,"Ocupada",Unidades!E4:E50)</f>
        <v/>
      </c>
      <c r="C12" s="6" t="n"/>
      <c r="D12" s="10">
        <f>SUMIF(Unidades!G4:G50,"Ocupada",Unidades!E4:E50)</f>
        <v/>
      </c>
      <c r="E12" s="6" t="n"/>
      <c r="F12" s="8">
        <f>IF(B12&gt;0, D12/B12, 0)</f>
        <v/>
      </c>
      <c r="G12" s="6" t="n"/>
      <c r="H12" s="11">
        <f>SUMIF(Contratos!J4:J50,"Activo",Contratos!H4:H50)</f>
        <v/>
      </c>
      <c r="I12" s="6" t="n"/>
      <c r="J12" s="11">
        <f>SUM(Cobros!E4:E50)</f>
        <v/>
      </c>
      <c r="K12" s="6" t="n"/>
    </row>
    <row r="13">
      <c r="B13" s="9" t="inlineStr">
        <is>
          <t>m² en oferta activa</t>
        </is>
      </c>
      <c r="C13" s="6" t="n"/>
      <c r="D13" s="9" t="inlineStr">
        <is>
          <t>m² con contrato activo</t>
        </is>
      </c>
      <c r="E13" s="6" t="n"/>
      <c r="F13" s="9" t="inlineStr">
        <is>
          <t>m² ocupados ÷ m² rentables</t>
        </is>
      </c>
      <c r="G13" s="6" t="n"/>
      <c r="H13" s="9" t="inlineStr">
        <is>
          <t>Ingreso mensual contratado</t>
        </is>
      </c>
      <c r="I13" s="6" t="n"/>
      <c r="J13" s="9" t="inlineStr">
        <is>
          <t>Total cobros manuales</t>
        </is>
      </c>
      <c r="K13" s="6" t="n"/>
    </row>
    <row r="15">
      <c r="B15" s="4" t="inlineStr">
        <is>
          <t>2. DESGLOSE Y RENDIMIENTO POR CENTRO</t>
        </is>
      </c>
    </row>
    <row r="16">
      <c r="B16" s="12" t="inlineStr">
        <is>
          <t>ID Centro</t>
        </is>
      </c>
      <c r="C16" s="13" t="inlineStr">
        <is>
          <t>Nombre del centro</t>
        </is>
      </c>
      <c r="D16" s="12" t="inlineStr">
        <is>
          <t>Total Uds</t>
        </is>
      </c>
      <c r="E16" s="12" t="inlineStr">
        <is>
          <t>Rentables</t>
        </is>
      </c>
      <c r="F16" s="12" t="inlineStr">
        <is>
          <t>Ocupadas</t>
        </is>
      </c>
      <c r="G16" s="12" t="inlineStr">
        <is>
          <t>Disponibles</t>
        </is>
      </c>
      <c r="H16" s="12" t="inlineStr">
        <is>
          <t>% Ocup. Uds</t>
        </is>
      </c>
      <c r="I16" s="12" t="inlineStr">
        <is>
          <t>Sup. Rentable</t>
        </is>
      </c>
      <c r="J16" s="12" t="inlineStr">
        <is>
          <t>Sup. Ocupada</t>
        </is>
      </c>
      <c r="K16" s="12" t="inlineStr">
        <is>
          <t>% Ocup. m²</t>
        </is>
      </c>
      <c r="L16" s="12" t="inlineStr">
        <is>
          <t>Cuota Contratada (€/mes)</t>
        </is>
      </c>
    </row>
    <row r="17">
      <c r="B17" s="14" t="inlineStr">
        <is>
          <t>CTR-001</t>
        </is>
      </c>
      <c r="C17" s="15">
        <f>IFERROR(VLOOKUP(B17,Centros!A4:B20,2,FALSE),"Centro Norte")</f>
        <v/>
      </c>
      <c r="D17" s="16">
        <f>COUNTIF(Unidades!B4:B50, B17)</f>
        <v/>
      </c>
      <c r="E17" s="16">
        <f>COUNTIFS(Unidades!B4:B50, B17, Unidades!G4:G50, "Disponible") + COUNTIFS(Unidades!B4:B50, B17, Unidades!G4:G50, "Ocupada")</f>
        <v/>
      </c>
      <c r="F17" s="16">
        <f>COUNTIFS(Unidades!B4:B50, B17, Unidades!G4:G50, "Ocupada")</f>
        <v/>
      </c>
      <c r="G17" s="16">
        <f>COUNTIFS(Unidades!B4:B50, B17, Unidades!G4:G50, "Disponible")</f>
        <v/>
      </c>
      <c r="H17" s="17">
        <f>IF(E17&gt;0, F17/E17, 0)</f>
        <v/>
      </c>
      <c r="I17" s="18">
        <f>SUMIFS(Unidades!E4:E50, Unidades!B4:B50, B17, Unidades!G4:G50, "Disponible") + SUMIFS(Unidades!E4:E50, Unidades!B4:B50, B17, Unidades!G4:G50, "Ocupada")</f>
        <v/>
      </c>
      <c r="J17" s="18">
        <f>SUMIFS(Unidades!E4:E50, Unidades!B4:B50, B17, Unidades!G4:G50, "Ocupada")</f>
        <v/>
      </c>
      <c r="K17" s="17">
        <f>IF(I17&gt;0, J17/I17, 0)</f>
        <v/>
      </c>
      <c r="L17" s="19">
        <f>SUMIFS(Contratos!H4:H50, Contratos!B4:B50, B17, Contratos!J4:J50, "Activo")</f>
        <v/>
      </c>
    </row>
    <row r="18">
      <c r="B18" s="20" t="inlineStr">
        <is>
          <t>CTR-002</t>
        </is>
      </c>
      <c r="C18" s="21">
        <f>IFERROR(VLOOKUP(B18,Centros!A4:B20,2,FALSE),"Centro Sur")</f>
        <v/>
      </c>
      <c r="D18" s="22">
        <f>COUNTIF(Unidades!B4:B50, B18)</f>
        <v/>
      </c>
      <c r="E18" s="22">
        <f>COUNTIFS(Unidades!B4:B50, B18, Unidades!G4:G50, "Disponible") + COUNTIFS(Unidades!B4:B50, B18, Unidades!G4:G50, "Ocupada")</f>
        <v/>
      </c>
      <c r="F18" s="22">
        <f>COUNTIFS(Unidades!B4:B50, B18, Unidades!G4:G50, "Ocupada")</f>
        <v/>
      </c>
      <c r="G18" s="22">
        <f>COUNTIFS(Unidades!B4:B50, B18, Unidades!G4:G50, "Disponible")</f>
        <v/>
      </c>
      <c r="H18" s="23">
        <f>IF(E18&gt;0, F18/E18, 0)</f>
        <v/>
      </c>
      <c r="I18" s="24">
        <f>SUMIFS(Unidades!E4:E50, Unidades!B4:B50, B18, Unidades!G4:G50, "Disponible") + SUMIFS(Unidades!E4:E50, Unidades!B4:B50, B18, Unidades!G4:G50, "Ocupada")</f>
        <v/>
      </c>
      <c r="J18" s="24">
        <f>SUMIFS(Unidades!E4:E50, Unidades!B4:B50, B18, Unidades!G4:G50, "Ocupada")</f>
        <v/>
      </c>
      <c r="K18" s="23">
        <f>IF(I18&gt;0, J18/I18, 0)</f>
        <v/>
      </c>
      <c r="L18" s="25">
        <f>SUMIFS(Contratos!H4:H50, Contratos!B4:B50, B18, Contratos!J4:J50, "Activo")</f>
        <v/>
      </c>
    </row>
    <row r="19">
      <c r="B19" s="26" t="inlineStr">
        <is>
          <t>TOTAL</t>
        </is>
      </c>
      <c r="C19" s="27" t="inlineStr">
        <is>
          <t>Todos los centros</t>
        </is>
      </c>
      <c r="D19" s="26">
        <f>SUM(D17:D18)</f>
        <v/>
      </c>
      <c r="E19" s="26">
        <f>SUM(E17:E18)</f>
        <v/>
      </c>
      <c r="F19" s="26">
        <f>SUM(F17:F18)</f>
        <v/>
      </c>
      <c r="G19" s="26">
        <f>SUM(G17:G18)</f>
        <v/>
      </c>
      <c r="H19" s="28">
        <f>IF(E19&gt;0, F19/E19, 0)</f>
        <v/>
      </c>
      <c r="I19" s="29">
        <f>SUM(I17:I18)</f>
        <v/>
      </c>
      <c r="J19" s="29">
        <f>SUM(J17:J18)</f>
        <v/>
      </c>
      <c r="K19" s="28">
        <f>IF(I19&gt;0, J19/I19, 0)</f>
        <v/>
      </c>
      <c r="L19" s="30">
        <f>SUM(L17:L18)</f>
        <v/>
      </c>
    </row>
    <row r="21">
      <c r="B21" s="4" t="inlineStr">
        <is>
          <t>3. ALERTAS Y COMPROBACIONES DE COHERENCIA OPERATIVA</t>
        </is>
      </c>
    </row>
    <row r="22">
      <c r="B22" s="12" t="inlineStr">
        <is>
          <t>Nº</t>
        </is>
      </c>
      <c r="C22" s="13" t="inlineStr">
        <is>
          <t>Punto de control de coherencia</t>
        </is>
      </c>
      <c r="D22" s="31" t="n"/>
      <c r="E22" s="31" t="n"/>
      <c r="F22" s="12" t="inlineStr">
        <is>
          <t>Hoja</t>
        </is>
      </c>
      <c r="G22" s="12" t="inlineStr">
        <is>
          <t>Diagnóstico automático</t>
        </is>
      </c>
      <c r="H22" s="31" t="n"/>
      <c r="I22" s="31" t="n"/>
      <c r="J22" s="13" t="inlineStr">
        <is>
          <t>Regla y acción requerida</t>
        </is>
      </c>
      <c r="K22" s="31" t="n"/>
      <c r="L22" s="31" t="n"/>
    </row>
    <row r="23">
      <c r="B23" s="14" t="n">
        <v>1</v>
      </c>
      <c r="C23" s="15" t="inlineStr">
        <is>
          <t>Unidades con más de 1 contrato activo</t>
        </is>
      </c>
      <c r="D23" s="32" t="n"/>
      <c r="E23" s="32" t="n"/>
      <c r="F23" s="16" t="inlineStr">
        <is>
          <t>Unidades</t>
        </is>
      </c>
      <c r="G23" s="14">
        <f>IF(COUNTIF(Unidades!K4:K50,"*contrato activo*")&gt;0, "⚠️ ALERTA: Hay trasteros con contratos duplicados", "✅ Correcto (Sin duplicados)")</f>
        <v/>
      </c>
      <c r="H23" s="32" t="n"/>
      <c r="I23" s="32" t="n"/>
      <c r="J23" s="33" t="inlineStr">
        <is>
          <t>Un trastero físico no puede tener simultáneamente dos contratos activos.</t>
        </is>
      </c>
      <c r="K23" s="32" t="n"/>
      <c r="L23" s="32" t="n"/>
    </row>
    <row r="24">
      <c r="B24" s="20" t="n">
        <v>2</v>
      </c>
      <c r="C24" s="21" t="inlineStr">
        <is>
          <t>Coherencia de estado (Ocupada/Disponible vs Contrato)</t>
        </is>
      </c>
      <c r="D24" s="34" t="n"/>
      <c r="E24" s="34" t="n"/>
      <c r="F24" s="22" t="inlineStr">
        <is>
          <t>Unidades</t>
        </is>
      </c>
      <c r="G24" s="20">
        <f>IF(COUNTIF(Unidades!K4:K50,"⚠️*")&gt;0, "⚠️ ALERTA: Hay " &amp; COUNTIF(Unidades!K4:K50,"⚠️*") &amp; " estado(s) discrepante(s)", "✅ Correcto (Estados coherentes)")</f>
        <v/>
      </c>
      <c r="H24" s="34" t="n"/>
      <c r="I24" s="34" t="n"/>
      <c r="J24" s="35" t="inlineStr">
        <is>
          <t>Si hay contrato activo la unidad debe figurar 'Ocupada'; si no, 'Disponible' o 'No rentable'.</t>
        </is>
      </c>
      <c r="K24" s="34" t="n"/>
      <c r="L24" s="34" t="n"/>
    </row>
    <row r="25">
      <c r="B25" s="14" t="n">
        <v>3</v>
      </c>
      <c r="C25" s="15" t="inlineStr">
        <is>
          <t>Fechas de contratos (Fecha fin anterior a Fecha inicio)</t>
        </is>
      </c>
      <c r="D25" s="32" t="n"/>
      <c r="E25" s="32" t="n"/>
      <c r="F25" s="16" t="inlineStr">
        <is>
          <t>Contratos</t>
        </is>
      </c>
      <c r="G25" s="14">
        <f>IF(COUNTIF(Contratos!L4:L50,"⚠️*")&gt;0, "⚠️ ALERTA: Fechas incoherentes detectadas", "✅ Correcto (Fechas válidas)")</f>
        <v/>
      </c>
      <c r="H25" s="32" t="n"/>
      <c r="I25" s="32" t="n"/>
      <c r="J25" s="33" t="inlineStr">
        <is>
          <t>La fecha de finalización debe ser posterior a la fecha de inicio del alquiler.</t>
        </is>
      </c>
      <c r="K25" s="32" t="n"/>
      <c r="L25" s="32" t="n"/>
    </row>
    <row r="26">
      <c r="B26" s="20" t="n">
        <v>4</v>
      </c>
      <c r="C26" s="21" t="inlineStr">
        <is>
          <t>Cobros manuales pendientes de revisión o conciliar</t>
        </is>
      </c>
      <c r="D26" s="34" t="n"/>
      <c r="E26" s="34" t="n"/>
      <c r="F26" s="22" t="inlineStr">
        <is>
          <t>Cobros</t>
        </is>
      </c>
      <c r="G26" s="20">
        <f>IF(COUNTIF(Cobros!H4:H50,"Pendiente")&gt;0, "⚠️ AVISO: " &amp; COUNTIF(Cobros!H4:H50,"Pendiente") &amp; " cobro(s) pendiente(s)", "✅ Al día (Todos revisados)")</f>
        <v/>
      </c>
      <c r="H26" s="34" t="n"/>
      <c r="I26" s="34" t="n"/>
      <c r="J26" s="35" t="inlineStr">
        <is>
          <t>Comprobar los movimientos manuales frente al extracto bancario o terminal TPV.</t>
        </is>
      </c>
      <c r="K26" s="34" t="n"/>
      <c r="L26" s="34" t="n"/>
    </row>
    <row r="27">
      <c r="B27" s="14" t="n">
        <v>5</v>
      </c>
      <c r="C27" s="15" t="inlineStr">
        <is>
          <t>Contratos asociados a clientes inexistentes</t>
        </is>
      </c>
      <c r="D27" s="32" t="n"/>
      <c r="E27" s="32" t="n"/>
      <c r="F27" s="16" t="inlineStr">
        <is>
          <t>Contratos</t>
        </is>
      </c>
      <c r="G27" s="14">
        <f>IF(COUNTIF(Contratos!E4:E50,"⚠️*")&gt;0, "⚠️ ALERTA: Contratos con cliente huérfano", "✅ Correcto (Clientes vinculados)")</f>
        <v/>
      </c>
      <c r="H27" s="32" t="n"/>
      <c r="I27" s="32" t="n"/>
      <c r="J27" s="33" t="inlineStr">
        <is>
          <t>Todo contrato debe referenciar un ID Cliente existente en el directorio maestro.</t>
        </is>
      </c>
      <c r="K27" s="32" t="n"/>
      <c r="L27" s="32" t="n"/>
    </row>
    <row r="29">
      <c r="B29" s="4" t="inlineStr">
        <is>
          <t>4. RUTINAS DE MANTENIMIENTO RECOMENDADAS</t>
        </is>
      </c>
    </row>
    <row r="30">
      <c r="B30" s="36" t="inlineStr">
        <is>
          <t>Rutina Semanal (15 min)</t>
        </is>
      </c>
      <c r="C30" s="37" t="n"/>
      <c r="D30" s="37" t="n"/>
      <c r="E30" s="15" t="inlineStr">
        <is>
          <t>1. Revisar altas y bajas de clientes.  2. Verificar que no haya unidades en obras olvidadas.  3. Comprobar cobros pendientes.  4. Guardar copia de seguridad con fecha.</t>
        </is>
      </c>
      <c r="F30" s="37" t="n"/>
      <c r="G30" s="37" t="n"/>
      <c r="H30" s="37" t="n"/>
      <c r="I30" s="37" t="n"/>
      <c r="J30" s="37" t="n"/>
      <c r="K30" s="37" t="n"/>
      <c r="L30" s="37" t="n"/>
    </row>
    <row r="31">
      <c r="B31" s="36" t="inlineStr">
        <is>
          <t>Cierre Mensual</t>
        </is>
      </c>
      <c r="C31" s="37" t="n"/>
      <c r="D31" s="37" t="n"/>
      <c r="E31" s="15" t="inlineStr">
        <is>
          <t>1. Fijar fecha de corte (último día del mes 23:59).  2. Revisar la capacidad rentable y calcular % ocupación oficial.  3. Archivar versión mensual congelada.</t>
        </is>
      </c>
      <c r="F31" s="37" t="n"/>
      <c r="G31" s="37" t="n"/>
      <c r="H31" s="37" t="n"/>
      <c r="I31" s="37" t="n"/>
      <c r="J31" s="37" t="n"/>
      <c r="K31" s="37" t="n"/>
      <c r="L31" s="37" t="n"/>
    </row>
  </sheetData>
  <mergeCells count="52">
    <mergeCell ref="F11:G11"/>
    <mergeCell ref="J24:L24"/>
    <mergeCell ref="B7:C7"/>
    <mergeCell ref="C22:E22"/>
    <mergeCell ref="J27:L27"/>
    <mergeCell ref="J26:L26"/>
    <mergeCell ref="J13:K13"/>
    <mergeCell ref="H9:I9"/>
    <mergeCell ref="F7:G7"/>
    <mergeCell ref="B12:C12"/>
    <mergeCell ref="J9:K9"/>
    <mergeCell ref="G24:I24"/>
    <mergeCell ref="J25:L25"/>
    <mergeCell ref="F12:G12"/>
    <mergeCell ref="C27:E27"/>
    <mergeCell ref="B11:C11"/>
    <mergeCell ref="D11:E11"/>
    <mergeCell ref="D13:E13"/>
    <mergeCell ref="J22:L22"/>
    <mergeCell ref="C23:E23"/>
    <mergeCell ref="G26:I26"/>
    <mergeCell ref="B30:D30"/>
    <mergeCell ref="B8:C8"/>
    <mergeCell ref="E31:L31"/>
    <mergeCell ref="F8:G8"/>
    <mergeCell ref="B13:C13"/>
    <mergeCell ref="G25:I25"/>
    <mergeCell ref="H11:I11"/>
    <mergeCell ref="J11:K11"/>
    <mergeCell ref="D7:E7"/>
    <mergeCell ref="E30:L30"/>
    <mergeCell ref="G22:I22"/>
    <mergeCell ref="H7:I7"/>
    <mergeCell ref="J7:K7"/>
    <mergeCell ref="J23:L23"/>
    <mergeCell ref="F13:G13"/>
    <mergeCell ref="B9:C9"/>
    <mergeCell ref="D9:E9"/>
    <mergeCell ref="H13:I13"/>
    <mergeCell ref="F9:G9"/>
    <mergeCell ref="D12:E12"/>
    <mergeCell ref="C24:E24"/>
    <mergeCell ref="D8:E8"/>
    <mergeCell ref="H12:I12"/>
    <mergeCell ref="J12:K12"/>
    <mergeCell ref="G27:I27"/>
    <mergeCell ref="B31:D31"/>
    <mergeCell ref="G23:I23"/>
    <mergeCell ref="C26:E26"/>
    <mergeCell ref="H8:I8"/>
    <mergeCell ref="J8:K8"/>
    <mergeCell ref="C25:E25"/>
  </mergeCells>
  <conditionalFormatting sqref="G23:I27">
    <cfRule type="expression" priority="1" dxfId="0">
      <formula>ISNUMBER(SEARCH("✅", G23))</formula>
    </cfRule>
    <cfRule type="expression" priority="2" dxfId="1">
      <formula>ISNUMBER(SEARCH("⚠️", G23))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0D9488"/>
    <outlinePr summaryBelow="1" summaryRight="1"/>
    <pageSetUpPr/>
  </sheetPr>
  <dimension ref="A1:H19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4" customWidth="1" min="3" max="3"/>
    <col width="20" customWidth="1" min="4" max="4"/>
    <col width="14" customWidth="1" min="5" max="5"/>
    <col width="14" customWidth="1" min="6" max="6"/>
    <col width="16" customWidth="1" min="7" max="7"/>
    <col width="48" customWidth="1" min="8" max="8"/>
  </cols>
  <sheetData>
    <row r="1">
      <c r="A1" s="1" t="inlineStr">
        <is>
          <t>GESTIONATRASTEROS · DIRECTORIO DE CENTROS</t>
        </is>
      </c>
    </row>
    <row r="2">
      <c r="A2" s="3" t="inlineStr">
        <is>
          <t>Ubicaciones operativas. Los identificadores deben ser únicos y estables (CTR-XXX).</t>
        </is>
      </c>
    </row>
    <row r="3">
      <c r="A3" s="12" t="inlineStr">
        <is>
          <t>ID Centro</t>
        </is>
      </c>
      <c r="B3" s="13" t="inlineStr">
        <is>
          <t>Nombre operativo</t>
        </is>
      </c>
      <c r="C3" s="13" t="inlineStr">
        <is>
          <t>Dirección</t>
        </is>
      </c>
      <c r="D3" s="13" t="inlineStr">
        <is>
          <t>Ciudad / Provincia</t>
        </is>
      </c>
      <c r="E3" s="12" t="inlineStr">
        <is>
          <t>Código Postal</t>
        </is>
      </c>
      <c r="F3" s="12" t="inlineStr">
        <is>
          <t>Estado</t>
        </is>
      </c>
      <c r="G3" s="12" t="inlineStr">
        <is>
          <t>Fecha de alta</t>
        </is>
      </c>
      <c r="H3" s="13" t="inlineStr">
        <is>
          <t>Notas operativas</t>
        </is>
      </c>
    </row>
    <row r="4">
      <c r="A4" s="14" t="inlineStr">
        <is>
          <t>CTR-001</t>
        </is>
      </c>
      <c r="B4" s="15" t="inlineStr">
        <is>
          <t>Centro Norte - Fuencarral</t>
        </is>
      </c>
      <c r="C4" s="15" t="inlineStr">
        <is>
          <t>C/ del Teide, 14, Nave 2</t>
        </is>
      </c>
      <c r="D4" s="15" t="inlineStr">
        <is>
          <t>Madrid</t>
        </is>
      </c>
      <c r="E4" s="16" t="inlineStr">
        <is>
          <t>28034</t>
        </is>
      </c>
      <c r="F4" s="38" t="inlineStr">
        <is>
          <t>Activo</t>
        </is>
      </c>
      <c r="G4" s="39" t="inlineStr">
        <is>
          <t>2026-01-15</t>
        </is>
      </c>
      <c r="H4" s="15" t="inlineStr">
        <is>
          <t>Centro principal con acceso 24h y muelle de carga</t>
        </is>
      </c>
    </row>
    <row r="5">
      <c r="A5" s="20" t="inlineStr">
        <is>
          <t>CTR-002</t>
        </is>
      </c>
      <c r="B5" s="21" t="inlineStr">
        <is>
          <t>Centro Sur - Getafe</t>
        </is>
      </c>
      <c r="C5" s="21" t="inlineStr">
        <is>
          <t>Avda. del Río Guadalquivir, 8</t>
        </is>
      </c>
      <c r="D5" s="21" t="inlineStr">
        <is>
          <t>Getafe (Madrid)</t>
        </is>
      </c>
      <c r="E5" s="22" t="inlineStr">
        <is>
          <t>28906</t>
        </is>
      </c>
      <c r="F5" s="38" t="inlineStr">
        <is>
          <t>Activo</t>
        </is>
      </c>
      <c r="G5" s="40" t="inlineStr">
        <is>
          <t>2026-03-01</t>
        </is>
      </c>
      <c r="H5" s="21" t="inlineStr">
        <is>
          <t>Instalación en polígono con control de acceso por teclado</t>
        </is>
      </c>
    </row>
    <row r="6">
      <c r="A6" s="32" t="n"/>
      <c r="B6" s="32" t="n"/>
      <c r="C6" s="32" t="n"/>
      <c r="D6" s="32" t="n"/>
      <c r="E6" s="32" t="n"/>
      <c r="F6" s="32" t="n"/>
      <c r="G6" s="32" t="n"/>
      <c r="H6" s="32" t="n"/>
    </row>
    <row r="7">
      <c r="A7" s="34" t="n"/>
      <c r="B7" s="34" t="n"/>
      <c r="C7" s="34" t="n"/>
      <c r="D7" s="34" t="n"/>
      <c r="E7" s="34" t="n"/>
      <c r="F7" s="34" t="n"/>
      <c r="G7" s="34" t="n"/>
      <c r="H7" s="34" t="n"/>
    </row>
    <row r="8">
      <c r="A8" s="32" t="n"/>
      <c r="B8" s="32" t="n"/>
      <c r="C8" s="32" t="n"/>
      <c r="D8" s="32" t="n"/>
      <c r="E8" s="32" t="n"/>
      <c r="F8" s="32" t="n"/>
      <c r="G8" s="32" t="n"/>
      <c r="H8" s="32" t="n"/>
    </row>
    <row r="9">
      <c r="A9" s="34" t="n"/>
      <c r="B9" s="34" t="n"/>
      <c r="C9" s="34" t="n"/>
      <c r="D9" s="34" t="n"/>
      <c r="E9" s="34" t="n"/>
      <c r="F9" s="34" t="n"/>
      <c r="G9" s="34" t="n"/>
      <c r="H9" s="34" t="n"/>
    </row>
    <row r="10">
      <c r="A10" s="32" t="n"/>
      <c r="B10" s="32" t="n"/>
      <c r="C10" s="32" t="n"/>
      <c r="D10" s="32" t="n"/>
      <c r="E10" s="32" t="n"/>
      <c r="F10" s="32" t="n"/>
      <c r="G10" s="32" t="n"/>
      <c r="H10" s="32" t="n"/>
    </row>
    <row r="11">
      <c r="A11" s="34" t="n"/>
      <c r="B11" s="34" t="n"/>
      <c r="C11" s="34" t="n"/>
      <c r="D11" s="34" t="n"/>
      <c r="E11" s="34" t="n"/>
      <c r="F11" s="34" t="n"/>
      <c r="G11" s="34" t="n"/>
      <c r="H11" s="34" t="n"/>
    </row>
    <row r="12">
      <c r="A12" s="32" t="n"/>
      <c r="B12" s="32" t="n"/>
      <c r="C12" s="32" t="n"/>
      <c r="D12" s="32" t="n"/>
      <c r="E12" s="32" t="n"/>
      <c r="F12" s="32" t="n"/>
      <c r="G12" s="32" t="n"/>
      <c r="H12" s="32" t="n"/>
    </row>
    <row r="13">
      <c r="A13" s="34" t="n"/>
      <c r="B13" s="34" t="n"/>
      <c r="C13" s="34" t="n"/>
      <c r="D13" s="34" t="n"/>
      <c r="E13" s="34" t="n"/>
      <c r="F13" s="34" t="n"/>
      <c r="G13" s="34" t="n"/>
      <c r="H13" s="34" t="n"/>
    </row>
    <row r="14">
      <c r="A14" s="32" t="n"/>
      <c r="B14" s="32" t="n"/>
      <c r="C14" s="32" t="n"/>
      <c r="D14" s="32" t="n"/>
      <c r="E14" s="32" t="n"/>
      <c r="F14" s="32" t="n"/>
      <c r="G14" s="32" t="n"/>
      <c r="H14" s="32" t="n"/>
    </row>
    <row r="15">
      <c r="A15" s="34" t="n"/>
      <c r="B15" s="34" t="n"/>
      <c r="C15" s="34" t="n"/>
      <c r="D15" s="34" t="n"/>
      <c r="E15" s="34" t="n"/>
      <c r="F15" s="34" t="n"/>
      <c r="G15" s="34" t="n"/>
      <c r="H15" s="34" t="n"/>
    </row>
    <row r="16">
      <c r="A16" s="32" t="n"/>
      <c r="B16" s="32" t="n"/>
      <c r="C16" s="32" t="n"/>
      <c r="D16" s="32" t="n"/>
      <c r="E16" s="32" t="n"/>
      <c r="F16" s="32" t="n"/>
      <c r="G16" s="32" t="n"/>
      <c r="H16" s="32" t="n"/>
    </row>
    <row r="17">
      <c r="A17" s="34" t="n"/>
      <c r="B17" s="34" t="n"/>
      <c r="C17" s="34" t="n"/>
      <c r="D17" s="34" t="n"/>
      <c r="E17" s="34" t="n"/>
      <c r="F17" s="34" t="n"/>
      <c r="G17" s="34" t="n"/>
      <c r="H17" s="34" t="n"/>
    </row>
    <row r="18">
      <c r="A18" s="32" t="n"/>
      <c r="B18" s="32" t="n"/>
      <c r="C18" s="32" t="n"/>
      <c r="D18" s="32" t="n"/>
      <c r="E18" s="32" t="n"/>
      <c r="F18" s="32" t="n"/>
      <c r="G18" s="32" t="n"/>
      <c r="H18" s="32" t="n"/>
    </row>
    <row r="19">
      <c r="A19" s="34" t="n"/>
      <c r="B19" s="34" t="n"/>
      <c r="C19" s="34" t="n"/>
      <c r="D19" s="34" t="n"/>
      <c r="E19" s="34" t="n"/>
      <c r="F19" s="34" t="n"/>
      <c r="G19" s="34" t="n"/>
      <c r="H19" s="3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0284C7"/>
    <outlinePr summaryBelow="1" summaryRight="1"/>
    <pageSetUpPr/>
  </sheetPr>
  <dimension ref="A1:K4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8" customWidth="1" min="4" max="4"/>
    <col width="18" customWidth="1" min="5" max="5"/>
    <col width="22" customWidth="1" min="6" max="6"/>
    <col width="24" customWidth="1" min="7" max="7"/>
    <col width="40" customWidth="1" min="8" max="8"/>
    <col width="16" customWidth="1" min="9" max="9"/>
    <col width="18" customWidth="1" min="10" max="10"/>
    <col width="26" customWidth="1" min="11" max="11"/>
  </cols>
  <sheetData>
    <row r="1">
      <c r="A1" s="1" t="inlineStr">
        <is>
          <t>GESTIONATRASTEROS · INVENTARIO DE TRASTEROS</t>
        </is>
      </c>
    </row>
    <row r="2">
      <c r="A2" s="3" t="inlineStr">
        <is>
          <t>Cada fila representa un trastero físico. No sobrescribir una fila al cambiar de cliente.</t>
        </is>
      </c>
    </row>
    <row r="3">
      <c r="A3" s="41" t="inlineStr">
        <is>
          <t>ID Unidad</t>
        </is>
      </c>
      <c r="B3" s="41" t="inlineStr">
        <is>
          <t>ID Centro</t>
        </is>
      </c>
      <c r="C3" s="41" t="inlineStr">
        <is>
          <t>Código visible</t>
        </is>
      </c>
      <c r="D3" s="41" t="inlineStr">
        <is>
          <t>Planta o zona</t>
        </is>
      </c>
      <c r="E3" s="41" t="inlineStr">
        <is>
          <t>Superficie (m²)</t>
        </is>
      </c>
      <c r="F3" s="41" t="inlineStr">
        <is>
          <t>Precio referencia (€)</t>
        </is>
      </c>
      <c r="G3" s="41" t="inlineStr">
        <is>
          <t>Estado operativo</t>
        </is>
      </c>
      <c r="H3" s="41" t="inlineStr">
        <is>
          <t>Motivo de bloqueo</t>
        </is>
      </c>
      <c r="I3" s="41" t="inlineStr">
        <is>
          <t>Fecha del estado</t>
        </is>
      </c>
      <c r="J3" s="42" t="inlineStr">
        <is>
          <t>Contratos activos</t>
        </is>
      </c>
      <c r="K3" s="42" t="inlineStr">
        <is>
          <t>Control coherencia</t>
        </is>
      </c>
    </row>
    <row r="4">
      <c r="A4" s="14" t="inlineStr">
        <is>
          <t>UNI-001</t>
        </is>
      </c>
      <c r="B4" s="16" t="inlineStr">
        <is>
          <t>CTR-001</t>
        </is>
      </c>
      <c r="C4" s="16" t="inlineStr">
        <is>
          <t>T-01</t>
        </is>
      </c>
      <c r="D4" s="16" t="inlineStr">
        <is>
          <t>Planta Baja</t>
        </is>
      </c>
      <c r="E4" s="18" t="n">
        <v>1.5</v>
      </c>
      <c r="F4" s="19" t="n">
        <v>42</v>
      </c>
      <c r="G4" s="43" t="inlineStr">
        <is>
          <t>Ocupada</t>
        </is>
      </c>
      <c r="H4" s="32" t="inlineStr"/>
      <c r="I4" s="16" t="inlineStr">
        <is>
          <t>2026-01-20</t>
        </is>
      </c>
      <c r="J4" s="44">
        <f>COUNTIFS(Contratos!$C$4:$C$100, A4, Contratos!$J$4:$J$100, "Activo")</f>
        <v/>
      </c>
      <c r="K4" s="38">
        <f>IF(J4&gt;1, "⚠️ &gt;1 contrato activo", IF(AND(G4="Disponible", J4&gt;0), "⚠️ Disponible con contrato", IF(AND(G4="Ocupada", J4=0), "⚠️ Ocupada sin contrato", "OK")))</f>
        <v/>
      </c>
    </row>
    <row r="5">
      <c r="A5" s="20" t="inlineStr">
        <is>
          <t>UNI-002</t>
        </is>
      </c>
      <c r="B5" s="22" t="inlineStr">
        <is>
          <t>CTR-001</t>
        </is>
      </c>
      <c r="C5" s="22" t="inlineStr">
        <is>
          <t>T-02</t>
        </is>
      </c>
      <c r="D5" s="22" t="inlineStr">
        <is>
          <t>Planta Baja</t>
        </is>
      </c>
      <c r="E5" s="24" t="n">
        <v>2</v>
      </c>
      <c r="F5" s="25" t="n">
        <v>55</v>
      </c>
      <c r="G5" s="43" t="inlineStr">
        <is>
          <t>Ocupada</t>
        </is>
      </c>
      <c r="H5" s="34" t="inlineStr"/>
      <c r="I5" s="22" t="inlineStr">
        <is>
          <t>2026-01-20</t>
        </is>
      </c>
      <c r="J5" s="45">
        <f>COUNTIFS(Contratos!$C$4:$C$100, A5, Contratos!$J$4:$J$100, "Activo")</f>
        <v/>
      </c>
      <c r="K5" s="38">
        <f>IF(J5&gt;1, "⚠️ &gt;1 contrato activo", IF(AND(G5="Disponible", J5&gt;0), "⚠️ Disponible con contrato", IF(AND(G5="Ocupada", J5=0), "⚠️ Ocupada sin contrato", "OK")))</f>
        <v/>
      </c>
    </row>
    <row r="6">
      <c r="A6" s="14" t="inlineStr">
        <is>
          <t>UNI-003</t>
        </is>
      </c>
      <c r="B6" s="16" t="inlineStr">
        <is>
          <t>CTR-001</t>
        </is>
      </c>
      <c r="C6" s="16" t="inlineStr">
        <is>
          <t>T-03</t>
        </is>
      </c>
      <c r="D6" s="16" t="inlineStr">
        <is>
          <t>Planta Baja</t>
        </is>
      </c>
      <c r="E6" s="18" t="n">
        <v>3</v>
      </c>
      <c r="F6" s="19" t="n">
        <v>75</v>
      </c>
      <c r="G6" s="43" t="inlineStr">
        <is>
          <t>Ocupada</t>
        </is>
      </c>
      <c r="H6" s="32" t="inlineStr"/>
      <c r="I6" s="16" t="inlineStr">
        <is>
          <t>2026-02-01</t>
        </is>
      </c>
      <c r="J6" s="44">
        <f>COUNTIFS(Contratos!$C$4:$C$100, A6, Contratos!$J$4:$J$100, "Activo")</f>
        <v/>
      </c>
      <c r="K6" s="38">
        <f>IF(J6&gt;1, "⚠️ &gt;1 contrato activo", IF(AND(G6="Disponible", J6&gt;0), "⚠️ Disponible con contrato", IF(AND(G6="Ocupada", J6=0), "⚠️ Ocupada sin contrato", "OK")))</f>
        <v/>
      </c>
    </row>
    <row r="7">
      <c r="A7" s="20" t="inlineStr">
        <is>
          <t>UNI-004</t>
        </is>
      </c>
      <c r="B7" s="22" t="inlineStr">
        <is>
          <t>CTR-001</t>
        </is>
      </c>
      <c r="C7" s="22" t="inlineStr">
        <is>
          <t>T-04</t>
        </is>
      </c>
      <c r="D7" s="22" t="inlineStr">
        <is>
          <t>Planta Baja</t>
        </is>
      </c>
      <c r="E7" s="24" t="n">
        <v>4.5</v>
      </c>
      <c r="F7" s="25" t="n">
        <v>98</v>
      </c>
      <c r="G7" s="43" t="inlineStr">
        <is>
          <t>Ocupada</t>
        </is>
      </c>
      <c r="H7" s="34" t="inlineStr"/>
      <c r="I7" s="22" t="inlineStr">
        <is>
          <t>2026-02-15</t>
        </is>
      </c>
      <c r="J7" s="45">
        <f>COUNTIFS(Contratos!$C$4:$C$100, A7, Contratos!$J$4:$J$100, "Activo")</f>
        <v/>
      </c>
      <c r="K7" s="38">
        <f>IF(J7&gt;1, "⚠️ &gt;1 contrato activo", IF(AND(G7="Disponible", J7&gt;0), "⚠️ Disponible con contrato", IF(AND(G7="Ocupada", J7=0), "⚠️ Ocupada sin contrato", "OK")))</f>
        <v/>
      </c>
    </row>
    <row r="8">
      <c r="A8" s="14" t="inlineStr">
        <is>
          <t>UNI-005</t>
        </is>
      </c>
      <c r="B8" s="16" t="inlineStr">
        <is>
          <t>CTR-001</t>
        </is>
      </c>
      <c r="C8" s="16" t="inlineStr">
        <is>
          <t>T-05</t>
        </is>
      </c>
      <c r="D8" s="16" t="inlineStr">
        <is>
          <t>Planta Baja</t>
        </is>
      </c>
      <c r="E8" s="18" t="n">
        <v>6</v>
      </c>
      <c r="F8" s="19" t="n">
        <v>125</v>
      </c>
      <c r="G8" s="38" t="inlineStr">
        <is>
          <t>Disponible</t>
        </is>
      </c>
      <c r="H8" s="32" t="inlineStr"/>
      <c r="I8" s="16" t="inlineStr">
        <is>
          <t>2026-08-30</t>
        </is>
      </c>
      <c r="J8" s="44">
        <f>COUNTIFS(Contratos!$C$4:$C$100, A8, Contratos!$J$4:$J$100, "Activo")</f>
        <v/>
      </c>
      <c r="K8" s="38">
        <f>IF(J8&gt;1, "⚠️ &gt;1 contrato activo", IF(AND(G8="Disponible", J8&gt;0), "⚠️ Disponible con contrato", IF(AND(G8="Ocupada", J8=0), "⚠️ Ocupada sin contrato", "OK")))</f>
        <v/>
      </c>
    </row>
    <row r="9">
      <c r="A9" s="20" t="inlineStr">
        <is>
          <t>UNI-006</t>
        </is>
      </c>
      <c r="B9" s="22" t="inlineStr">
        <is>
          <t>CTR-001</t>
        </is>
      </c>
      <c r="C9" s="22" t="inlineStr">
        <is>
          <t>T-06</t>
        </is>
      </c>
      <c r="D9" s="22" t="inlineStr">
        <is>
          <t>Planta Baja</t>
        </is>
      </c>
      <c r="E9" s="24" t="n">
        <v>8</v>
      </c>
      <c r="F9" s="25" t="n">
        <v>160</v>
      </c>
      <c r="G9" s="43" t="inlineStr">
        <is>
          <t>Ocupada</t>
        </is>
      </c>
      <c r="H9" s="34" t="inlineStr"/>
      <c r="I9" s="22" t="inlineStr">
        <is>
          <t>2026-03-01</t>
        </is>
      </c>
      <c r="J9" s="45">
        <f>COUNTIFS(Contratos!$C$4:$C$100, A9, Contratos!$J$4:$J$100, "Activo")</f>
        <v/>
      </c>
      <c r="K9" s="38">
        <f>IF(J9&gt;1, "⚠️ &gt;1 contrato activo", IF(AND(G9="Disponible", J9&gt;0), "⚠️ Disponible con contrato", IF(AND(G9="Ocupada", J9=0), "⚠️ Ocupada sin contrato", "OK")))</f>
        <v/>
      </c>
    </row>
    <row r="10">
      <c r="A10" s="14" t="inlineStr">
        <is>
          <t>UNI-007</t>
        </is>
      </c>
      <c r="B10" s="16" t="inlineStr">
        <is>
          <t>CTR-001</t>
        </is>
      </c>
      <c r="C10" s="16" t="inlineStr">
        <is>
          <t>T-07</t>
        </is>
      </c>
      <c r="D10" s="16" t="inlineStr">
        <is>
          <t>Planta 1</t>
        </is>
      </c>
      <c r="E10" s="18" t="n">
        <v>2</v>
      </c>
      <c r="F10" s="19" t="n">
        <v>50</v>
      </c>
      <c r="G10" s="43" t="inlineStr">
        <is>
          <t>Ocupada</t>
        </is>
      </c>
      <c r="H10" s="32" t="inlineStr"/>
      <c r="I10" s="16" t="inlineStr">
        <is>
          <t>2026-03-10</t>
        </is>
      </c>
      <c r="J10" s="44">
        <f>COUNTIFS(Contratos!$C$4:$C$100, A10, Contratos!$J$4:$J$100, "Activo")</f>
        <v/>
      </c>
      <c r="K10" s="38">
        <f>IF(J10&gt;1, "⚠️ &gt;1 contrato activo", IF(AND(G10="Disponible", J10&gt;0), "⚠️ Disponible con contrato", IF(AND(G10="Ocupada", J10=0), "⚠️ Ocupada sin contrato", "OK")))</f>
        <v/>
      </c>
    </row>
    <row r="11">
      <c r="A11" s="20" t="inlineStr">
        <is>
          <t>UNI-008</t>
        </is>
      </c>
      <c r="B11" s="22" t="inlineStr">
        <is>
          <t>CTR-001</t>
        </is>
      </c>
      <c r="C11" s="22" t="inlineStr">
        <is>
          <t>T-08</t>
        </is>
      </c>
      <c r="D11" s="22" t="inlineStr">
        <is>
          <t>Planta 1</t>
        </is>
      </c>
      <c r="E11" s="24" t="n">
        <v>3</v>
      </c>
      <c r="F11" s="25" t="n">
        <v>70</v>
      </c>
      <c r="G11" s="38" t="inlineStr">
        <is>
          <t>Disponible</t>
        </is>
      </c>
      <c r="H11" s="34" t="inlineStr"/>
      <c r="I11" s="22" t="inlineStr">
        <is>
          <t>2026-08-15</t>
        </is>
      </c>
      <c r="J11" s="45">
        <f>COUNTIFS(Contratos!$C$4:$C$100, A11, Contratos!$J$4:$J$100, "Activo")</f>
        <v/>
      </c>
      <c r="K11" s="38">
        <f>IF(J11&gt;1, "⚠️ &gt;1 contrato activo", IF(AND(G11="Disponible", J11&gt;0), "⚠️ Disponible con contrato", IF(AND(G11="Ocupada", J11=0), "⚠️ Ocupada sin contrato", "OK")))</f>
        <v/>
      </c>
    </row>
    <row r="12">
      <c r="A12" s="14" t="inlineStr">
        <is>
          <t>UNI-009</t>
        </is>
      </c>
      <c r="B12" s="16" t="inlineStr">
        <is>
          <t>CTR-001</t>
        </is>
      </c>
      <c r="C12" s="16" t="inlineStr">
        <is>
          <t>T-09</t>
        </is>
      </c>
      <c r="D12" s="16" t="inlineStr">
        <is>
          <t>Planta 1</t>
        </is>
      </c>
      <c r="E12" s="18" t="n">
        <v>4</v>
      </c>
      <c r="F12" s="19" t="n">
        <v>88</v>
      </c>
      <c r="G12" s="46" t="inlineStr">
        <is>
          <t>No rentable temporalmente</t>
        </is>
      </c>
      <c r="H12" s="32" t="inlineStr">
        <is>
          <t>Repintado y ajuste de puerta corredera</t>
        </is>
      </c>
      <c r="I12" s="16" t="inlineStr">
        <is>
          <t>2026-08-25</t>
        </is>
      </c>
      <c r="J12" s="44">
        <f>COUNTIFS(Contratos!$C$4:$C$100, A12, Contratos!$J$4:$J$100, "Activo")</f>
        <v/>
      </c>
      <c r="K12" s="38">
        <f>IF(J12&gt;1, "⚠️ &gt;1 contrato activo", IF(AND(G12="Disponible", J12&gt;0), "⚠️ Disponible con contrato", IF(AND(G12="Ocupada", J12=0), "⚠️ Ocupada sin contrato", "OK")))</f>
        <v/>
      </c>
    </row>
    <row r="13">
      <c r="A13" s="20" t="inlineStr">
        <is>
          <t>UNI-010</t>
        </is>
      </c>
      <c r="B13" s="22" t="inlineStr">
        <is>
          <t>CTR-001</t>
        </is>
      </c>
      <c r="C13" s="22" t="inlineStr">
        <is>
          <t>T-10</t>
        </is>
      </c>
      <c r="D13" s="22" t="inlineStr">
        <is>
          <t>Planta 1</t>
        </is>
      </c>
      <c r="E13" s="24" t="n">
        <v>5</v>
      </c>
      <c r="F13" s="25" t="n">
        <v>105</v>
      </c>
      <c r="G13" s="43" t="inlineStr">
        <is>
          <t>Ocupada</t>
        </is>
      </c>
      <c r="H13" s="34" t="inlineStr"/>
      <c r="I13" s="22" t="inlineStr">
        <is>
          <t>2026-04-01</t>
        </is>
      </c>
      <c r="J13" s="45">
        <f>COUNTIFS(Contratos!$C$4:$C$100, A13, Contratos!$J$4:$J$100, "Activo")</f>
        <v/>
      </c>
      <c r="K13" s="38">
        <f>IF(J13&gt;1, "⚠️ &gt;1 contrato activo", IF(AND(G13="Disponible", J13&gt;0), "⚠️ Disponible con contrato", IF(AND(G13="Ocupada", J13=0), "⚠️ Ocupada sin contrato", "OK")))</f>
        <v/>
      </c>
    </row>
    <row r="14">
      <c r="A14" s="14" t="inlineStr">
        <is>
          <t>UNI-011</t>
        </is>
      </c>
      <c r="B14" s="16" t="inlineStr">
        <is>
          <t>CTR-002</t>
        </is>
      </c>
      <c r="C14" s="16" t="inlineStr">
        <is>
          <t>G-01</t>
        </is>
      </c>
      <c r="D14" s="16" t="inlineStr">
        <is>
          <t>Planta Baja</t>
        </is>
      </c>
      <c r="E14" s="18" t="n">
        <v>2</v>
      </c>
      <c r="F14" s="19" t="n">
        <v>50</v>
      </c>
      <c r="G14" s="43" t="inlineStr">
        <is>
          <t>Ocupada</t>
        </is>
      </c>
      <c r="H14" s="32" t="inlineStr"/>
      <c r="I14" s="16" t="inlineStr">
        <is>
          <t>2026-03-15</t>
        </is>
      </c>
      <c r="J14" s="44">
        <f>COUNTIFS(Contratos!$C$4:$C$100, A14, Contratos!$J$4:$J$100, "Activo")</f>
        <v/>
      </c>
      <c r="K14" s="38">
        <f>IF(J14&gt;1, "⚠️ &gt;1 contrato activo", IF(AND(G14="Disponible", J14&gt;0), "⚠️ Disponible con contrato", IF(AND(G14="Ocupada", J14=0), "⚠️ Ocupada sin contrato", "OK")))</f>
        <v/>
      </c>
    </row>
    <row r="15">
      <c r="A15" s="20" t="inlineStr">
        <is>
          <t>UNI-012</t>
        </is>
      </c>
      <c r="B15" s="22" t="inlineStr">
        <is>
          <t>CTR-002</t>
        </is>
      </c>
      <c r="C15" s="22" t="inlineStr">
        <is>
          <t>G-02</t>
        </is>
      </c>
      <c r="D15" s="22" t="inlineStr">
        <is>
          <t>Planta Baja</t>
        </is>
      </c>
      <c r="E15" s="24" t="n">
        <v>3</v>
      </c>
      <c r="F15" s="25" t="n">
        <v>68</v>
      </c>
      <c r="G15" s="43" t="inlineStr">
        <is>
          <t>Ocupada</t>
        </is>
      </c>
      <c r="H15" s="34" t="inlineStr"/>
      <c r="I15" s="22" t="inlineStr">
        <is>
          <t>2026-03-15</t>
        </is>
      </c>
      <c r="J15" s="45">
        <f>COUNTIFS(Contratos!$C$4:$C$100, A15, Contratos!$J$4:$J$100, "Activo")</f>
        <v/>
      </c>
      <c r="K15" s="38">
        <f>IF(J15&gt;1, "⚠️ &gt;1 contrato activo", IF(AND(G15="Disponible", J15&gt;0), "⚠️ Disponible con contrato", IF(AND(G15="Ocupada", J15=0), "⚠️ Ocupada sin contrato", "OK")))</f>
        <v/>
      </c>
    </row>
    <row r="16">
      <c r="A16" s="14" t="inlineStr">
        <is>
          <t>UNI-013</t>
        </is>
      </c>
      <c r="B16" s="16" t="inlineStr">
        <is>
          <t>CTR-002</t>
        </is>
      </c>
      <c r="C16" s="16" t="inlineStr">
        <is>
          <t>G-03</t>
        </is>
      </c>
      <c r="D16" s="16" t="inlineStr">
        <is>
          <t>Planta Baja</t>
        </is>
      </c>
      <c r="E16" s="18" t="n">
        <v>4.5</v>
      </c>
      <c r="F16" s="19" t="n">
        <v>92</v>
      </c>
      <c r="G16" s="38" t="inlineStr">
        <is>
          <t>Disponible</t>
        </is>
      </c>
      <c r="H16" s="32" t="inlineStr"/>
      <c r="I16" s="16" t="inlineStr">
        <is>
          <t>2026-08-20</t>
        </is>
      </c>
      <c r="J16" s="44">
        <f>COUNTIFS(Contratos!$C$4:$C$100, A16, Contratos!$J$4:$J$100, "Activo")</f>
        <v/>
      </c>
      <c r="K16" s="38">
        <f>IF(J16&gt;1, "⚠️ &gt;1 contrato activo", IF(AND(G16="Disponible", J16&gt;0), "⚠️ Disponible con contrato", IF(AND(G16="Ocupada", J16=0), "⚠️ Ocupada sin contrato", "OK")))</f>
        <v/>
      </c>
    </row>
    <row r="17">
      <c r="A17" s="20" t="inlineStr">
        <is>
          <t>UNI-014</t>
        </is>
      </c>
      <c r="B17" s="22" t="inlineStr">
        <is>
          <t>CTR-002</t>
        </is>
      </c>
      <c r="C17" s="22" t="inlineStr">
        <is>
          <t>G-04</t>
        </is>
      </c>
      <c r="D17" s="22" t="inlineStr">
        <is>
          <t>Planta Baja</t>
        </is>
      </c>
      <c r="E17" s="24" t="n">
        <v>6</v>
      </c>
      <c r="F17" s="25" t="n">
        <v>118</v>
      </c>
      <c r="G17" s="43" t="inlineStr">
        <is>
          <t>Ocupada</t>
        </is>
      </c>
      <c r="H17" s="34" t="inlineStr"/>
      <c r="I17" s="22" t="inlineStr">
        <is>
          <t>2026-04-10</t>
        </is>
      </c>
      <c r="J17" s="45">
        <f>COUNTIFS(Contratos!$C$4:$C$100, A17, Contratos!$J$4:$J$100, "Activo")</f>
        <v/>
      </c>
      <c r="K17" s="38">
        <f>IF(J17&gt;1, "⚠️ &gt;1 contrato activo", IF(AND(G17="Disponible", J17&gt;0), "⚠️ Disponible con contrato", IF(AND(G17="Ocupada", J17=0), "⚠️ Ocupada sin contrato", "OK")))</f>
        <v/>
      </c>
    </row>
    <row r="18">
      <c r="A18" s="14" t="inlineStr">
        <is>
          <t>UNI-015</t>
        </is>
      </c>
      <c r="B18" s="16" t="inlineStr">
        <is>
          <t>CTR-002</t>
        </is>
      </c>
      <c r="C18" s="16" t="inlineStr">
        <is>
          <t>G-05</t>
        </is>
      </c>
      <c r="D18" s="16" t="inlineStr">
        <is>
          <t>Planta Baja</t>
        </is>
      </c>
      <c r="E18" s="18" t="n">
        <v>7.5</v>
      </c>
      <c r="F18" s="19" t="n">
        <v>140</v>
      </c>
      <c r="G18" s="43" t="inlineStr">
        <is>
          <t>Ocupada</t>
        </is>
      </c>
      <c r="H18" s="32" t="inlineStr"/>
      <c r="I18" s="16" t="inlineStr">
        <is>
          <t>2026-05-01</t>
        </is>
      </c>
      <c r="J18" s="44">
        <f>COUNTIFS(Contratos!$C$4:$C$100, A18, Contratos!$J$4:$J$100, "Activo")</f>
        <v/>
      </c>
      <c r="K18" s="38">
        <f>IF(J18&gt;1, "⚠️ &gt;1 contrato activo", IF(AND(G18="Disponible", J18&gt;0), "⚠️ Disponible con contrato", IF(AND(G18="Ocupada", J18=0), "⚠️ Ocupada sin contrato", "OK")))</f>
        <v/>
      </c>
    </row>
    <row r="19">
      <c r="A19" s="20" t="inlineStr">
        <is>
          <t>UNI-016</t>
        </is>
      </c>
      <c r="B19" s="22" t="inlineStr">
        <is>
          <t>CTR-002</t>
        </is>
      </c>
      <c r="C19" s="22" t="inlineStr">
        <is>
          <t>G-06</t>
        </is>
      </c>
      <c r="D19" s="22" t="inlineStr">
        <is>
          <t>Planta 1</t>
        </is>
      </c>
      <c r="E19" s="24" t="n">
        <v>2.5</v>
      </c>
      <c r="F19" s="25" t="n">
        <v>58</v>
      </c>
      <c r="G19" s="38" t="inlineStr">
        <is>
          <t>Disponible</t>
        </is>
      </c>
      <c r="H19" s="34" t="inlineStr"/>
      <c r="I19" s="22" t="inlineStr">
        <is>
          <t>2026-08-28</t>
        </is>
      </c>
      <c r="J19" s="45">
        <f>COUNTIFS(Contratos!$C$4:$C$100, A19, Contratos!$J$4:$J$100, "Activo")</f>
        <v/>
      </c>
      <c r="K19" s="38">
        <f>IF(J19&gt;1, "⚠️ &gt;1 contrato activo", IF(AND(G19="Disponible", J19&gt;0), "⚠️ Disponible con contrato", IF(AND(G19="Ocupada", J19=0), "⚠️ Ocupada sin contrato", "OK")))</f>
        <v/>
      </c>
    </row>
    <row r="20">
      <c r="A20" s="14" t="inlineStr">
        <is>
          <t>UNI-017</t>
        </is>
      </c>
      <c r="B20" s="16" t="inlineStr">
        <is>
          <t>CTR-002</t>
        </is>
      </c>
      <c r="C20" s="16" t="inlineStr">
        <is>
          <t>G-07</t>
        </is>
      </c>
      <c r="D20" s="16" t="inlineStr">
        <is>
          <t>Planta 1</t>
        </is>
      </c>
      <c r="E20" s="18" t="n">
        <v>3.5</v>
      </c>
      <c r="F20" s="19" t="n">
        <v>76</v>
      </c>
      <c r="G20" s="43" t="inlineStr">
        <is>
          <t>Ocupada</t>
        </is>
      </c>
      <c r="H20" s="32" t="inlineStr"/>
      <c r="I20" s="16" t="inlineStr">
        <is>
          <t>2026-05-15</t>
        </is>
      </c>
      <c r="J20" s="44">
        <f>COUNTIFS(Contratos!$C$4:$C$100, A20, Contratos!$J$4:$J$100, "Activo")</f>
        <v/>
      </c>
      <c r="K20" s="38">
        <f>IF(J20&gt;1, "⚠️ &gt;1 contrato activo", IF(AND(G20="Disponible", J20&gt;0), "⚠️ Disponible con contrato", IF(AND(G20="Ocupada", J20=0), "⚠️ Ocupada sin contrato", "OK")))</f>
        <v/>
      </c>
    </row>
    <row r="21">
      <c r="A21" s="20" t="inlineStr">
        <is>
          <t>UNI-018</t>
        </is>
      </c>
      <c r="B21" s="22" t="inlineStr">
        <is>
          <t>CTR-002</t>
        </is>
      </c>
      <c r="C21" s="22" t="inlineStr">
        <is>
          <t>G-08</t>
        </is>
      </c>
      <c r="D21" s="22" t="inlineStr">
        <is>
          <t>Planta 1</t>
        </is>
      </c>
      <c r="E21" s="24" t="n">
        <v>5</v>
      </c>
      <c r="F21" s="25" t="n">
        <v>98</v>
      </c>
      <c r="G21" s="47" t="inlineStr">
        <is>
          <t>Fuera de inventario</t>
        </is>
      </c>
      <c r="H21" s="34" t="inlineStr">
        <is>
          <t>Uso interno: custodia de material y herramientas</t>
        </is>
      </c>
      <c r="I21" s="22" t="inlineStr">
        <is>
          <t>2026-03-01</t>
        </is>
      </c>
      <c r="J21" s="45">
        <f>COUNTIFS(Contratos!$C$4:$C$100, A21, Contratos!$J$4:$J$100, "Activo")</f>
        <v/>
      </c>
      <c r="K21" s="38">
        <f>IF(J21&gt;1, "⚠️ &gt;1 contrato activo", IF(AND(G21="Disponible", J21&gt;0), "⚠️ Disponible con contrato", IF(AND(G21="Ocupada", J21=0), "⚠️ Ocupada sin contrato", "OK")))</f>
        <v/>
      </c>
    </row>
    <row r="22">
      <c r="A22" s="32" t="n"/>
      <c r="B22" s="32" t="n"/>
      <c r="C22" s="32" t="n"/>
      <c r="D22" s="32" t="n"/>
      <c r="E22" s="48" t="n"/>
      <c r="F22" s="49" t="n"/>
      <c r="G22" s="32" t="n"/>
      <c r="H22" s="32" t="n"/>
      <c r="I22" s="32" t="n"/>
      <c r="J22" s="50">
        <f>IF(A22="","",COUNTIFS(Contratos!$C$4:$C$100, A22, Contratos!$J$4:$J$100, "Activo"))</f>
        <v/>
      </c>
      <c r="K22" s="16">
        <f>IF(A22="","",IF(J22&gt;1, "⚠️ &gt;1 contrato activo", IF(AND(G22="Disponible", J22&gt;0), "⚠️ Disponible con contrato", IF(AND(G22="Ocupada", J22=0), "⚠️ Ocupada sin contrato", "OK"))))</f>
        <v/>
      </c>
    </row>
    <row r="23">
      <c r="A23" s="34" t="n"/>
      <c r="B23" s="34" t="n"/>
      <c r="C23" s="34" t="n"/>
      <c r="D23" s="34" t="n"/>
      <c r="E23" s="51" t="n"/>
      <c r="F23" s="52" t="n"/>
      <c r="G23" s="34" t="n"/>
      <c r="H23" s="34" t="n"/>
      <c r="I23" s="34" t="n"/>
      <c r="J23" s="53">
        <f>IF(A23="","",COUNTIFS(Contratos!$C$4:$C$100, A23, Contratos!$J$4:$J$100, "Activo"))</f>
        <v/>
      </c>
      <c r="K23" s="22">
        <f>IF(A23="","",IF(J23&gt;1, "⚠️ &gt;1 contrato activo", IF(AND(G23="Disponible", J23&gt;0), "⚠️ Disponible con contrato", IF(AND(G23="Ocupada", J23=0), "⚠️ Ocupada sin contrato", "OK"))))</f>
        <v/>
      </c>
    </row>
    <row r="24">
      <c r="A24" s="32" t="n"/>
      <c r="B24" s="32" t="n"/>
      <c r="C24" s="32" t="n"/>
      <c r="D24" s="32" t="n"/>
      <c r="E24" s="48" t="n"/>
      <c r="F24" s="49" t="n"/>
      <c r="G24" s="32" t="n"/>
      <c r="H24" s="32" t="n"/>
      <c r="I24" s="32" t="n"/>
      <c r="J24" s="50">
        <f>IF(A24="","",COUNTIFS(Contratos!$C$4:$C$100, A24, Contratos!$J$4:$J$100, "Activo"))</f>
        <v/>
      </c>
      <c r="K24" s="16">
        <f>IF(A24="","",IF(J24&gt;1, "⚠️ &gt;1 contrato activo", IF(AND(G24="Disponible", J24&gt;0), "⚠️ Disponible con contrato", IF(AND(G24="Ocupada", J24=0), "⚠️ Ocupada sin contrato", "OK"))))</f>
        <v/>
      </c>
    </row>
    <row r="25">
      <c r="A25" s="34" t="n"/>
      <c r="B25" s="34" t="n"/>
      <c r="C25" s="34" t="n"/>
      <c r="D25" s="34" t="n"/>
      <c r="E25" s="51" t="n"/>
      <c r="F25" s="52" t="n"/>
      <c r="G25" s="34" t="n"/>
      <c r="H25" s="34" t="n"/>
      <c r="I25" s="34" t="n"/>
      <c r="J25" s="53">
        <f>IF(A25="","",COUNTIFS(Contratos!$C$4:$C$100, A25, Contratos!$J$4:$J$100, "Activo"))</f>
        <v/>
      </c>
      <c r="K25" s="22">
        <f>IF(A25="","",IF(J25&gt;1, "⚠️ &gt;1 contrato activo", IF(AND(G25="Disponible", J25&gt;0), "⚠️ Disponible con contrato", IF(AND(G25="Ocupada", J25=0), "⚠️ Ocupada sin contrato", "OK"))))</f>
        <v/>
      </c>
    </row>
    <row r="26">
      <c r="A26" s="32" t="n"/>
      <c r="B26" s="32" t="n"/>
      <c r="C26" s="32" t="n"/>
      <c r="D26" s="32" t="n"/>
      <c r="E26" s="48" t="n"/>
      <c r="F26" s="49" t="n"/>
      <c r="G26" s="32" t="n"/>
      <c r="H26" s="32" t="n"/>
      <c r="I26" s="32" t="n"/>
      <c r="J26" s="50">
        <f>IF(A26="","",COUNTIFS(Contratos!$C$4:$C$100, A26, Contratos!$J$4:$J$100, "Activo"))</f>
        <v/>
      </c>
      <c r="K26" s="16">
        <f>IF(A26="","",IF(J26&gt;1, "⚠️ &gt;1 contrato activo", IF(AND(G26="Disponible", J26&gt;0), "⚠️ Disponible con contrato", IF(AND(G26="Ocupada", J26=0), "⚠️ Ocupada sin contrato", "OK"))))</f>
        <v/>
      </c>
    </row>
    <row r="27">
      <c r="A27" s="34" t="n"/>
      <c r="B27" s="34" t="n"/>
      <c r="C27" s="34" t="n"/>
      <c r="D27" s="34" t="n"/>
      <c r="E27" s="51" t="n"/>
      <c r="F27" s="52" t="n"/>
      <c r="G27" s="34" t="n"/>
      <c r="H27" s="34" t="n"/>
      <c r="I27" s="34" t="n"/>
      <c r="J27" s="53">
        <f>IF(A27="","",COUNTIFS(Contratos!$C$4:$C$100, A27, Contratos!$J$4:$J$100, "Activo"))</f>
        <v/>
      </c>
      <c r="K27" s="22">
        <f>IF(A27="","",IF(J27&gt;1, "⚠️ &gt;1 contrato activo", IF(AND(G27="Disponible", J27&gt;0), "⚠️ Disponible con contrato", IF(AND(G27="Ocupada", J27=0), "⚠️ Ocupada sin contrato", "OK"))))</f>
        <v/>
      </c>
    </row>
    <row r="28">
      <c r="A28" s="32" t="n"/>
      <c r="B28" s="32" t="n"/>
      <c r="C28" s="32" t="n"/>
      <c r="D28" s="32" t="n"/>
      <c r="E28" s="48" t="n"/>
      <c r="F28" s="49" t="n"/>
      <c r="G28" s="32" t="n"/>
      <c r="H28" s="32" t="n"/>
      <c r="I28" s="32" t="n"/>
      <c r="J28" s="50">
        <f>IF(A28="","",COUNTIFS(Contratos!$C$4:$C$100, A28, Contratos!$J$4:$J$100, "Activo"))</f>
        <v/>
      </c>
      <c r="K28" s="16">
        <f>IF(A28="","",IF(J28&gt;1, "⚠️ &gt;1 contrato activo", IF(AND(G28="Disponible", J28&gt;0), "⚠️ Disponible con contrato", IF(AND(G28="Ocupada", J28=0), "⚠️ Ocupada sin contrato", "OK"))))</f>
        <v/>
      </c>
    </row>
    <row r="29">
      <c r="A29" s="34" t="n"/>
      <c r="B29" s="34" t="n"/>
      <c r="C29" s="34" t="n"/>
      <c r="D29" s="34" t="n"/>
      <c r="E29" s="51" t="n"/>
      <c r="F29" s="52" t="n"/>
      <c r="G29" s="34" t="n"/>
      <c r="H29" s="34" t="n"/>
      <c r="I29" s="34" t="n"/>
      <c r="J29" s="53">
        <f>IF(A29="","",COUNTIFS(Contratos!$C$4:$C$100, A29, Contratos!$J$4:$J$100, "Activo"))</f>
        <v/>
      </c>
      <c r="K29" s="22">
        <f>IF(A29="","",IF(J29&gt;1, "⚠️ &gt;1 contrato activo", IF(AND(G29="Disponible", J29&gt;0), "⚠️ Disponible con contrato", IF(AND(G29="Ocupada", J29=0), "⚠️ Ocupada sin contrato", "OK"))))</f>
        <v/>
      </c>
    </row>
    <row r="30">
      <c r="A30" s="32" t="n"/>
      <c r="B30" s="32" t="n"/>
      <c r="C30" s="32" t="n"/>
      <c r="D30" s="32" t="n"/>
      <c r="E30" s="48" t="n"/>
      <c r="F30" s="49" t="n"/>
      <c r="G30" s="32" t="n"/>
      <c r="H30" s="32" t="n"/>
      <c r="I30" s="32" t="n"/>
      <c r="J30" s="50">
        <f>IF(A30="","",COUNTIFS(Contratos!$C$4:$C$100, A30, Contratos!$J$4:$J$100, "Activo"))</f>
        <v/>
      </c>
      <c r="K30" s="16">
        <f>IF(A30="","",IF(J30&gt;1, "⚠️ &gt;1 contrato activo", IF(AND(G30="Disponible", J30&gt;0), "⚠️ Disponible con contrato", IF(AND(G30="Ocupada", J30=0), "⚠️ Ocupada sin contrato", "OK"))))</f>
        <v/>
      </c>
    </row>
    <row r="31">
      <c r="A31" s="34" t="n"/>
      <c r="B31" s="34" t="n"/>
      <c r="C31" s="34" t="n"/>
      <c r="D31" s="34" t="n"/>
      <c r="E31" s="51" t="n"/>
      <c r="F31" s="52" t="n"/>
      <c r="G31" s="34" t="n"/>
      <c r="H31" s="34" t="n"/>
      <c r="I31" s="34" t="n"/>
      <c r="J31" s="53">
        <f>IF(A31="","",COUNTIFS(Contratos!$C$4:$C$100, A31, Contratos!$J$4:$J$100, "Activo"))</f>
        <v/>
      </c>
      <c r="K31" s="22">
        <f>IF(A31="","",IF(J31&gt;1, "⚠️ &gt;1 contrato activo", IF(AND(G31="Disponible", J31&gt;0), "⚠️ Disponible con contrato", IF(AND(G31="Ocupada", J31=0), "⚠️ Ocupada sin contrato", "OK"))))</f>
        <v/>
      </c>
    </row>
    <row r="32">
      <c r="A32" s="32" t="n"/>
      <c r="B32" s="32" t="n"/>
      <c r="C32" s="32" t="n"/>
      <c r="D32" s="32" t="n"/>
      <c r="E32" s="48" t="n"/>
      <c r="F32" s="49" t="n"/>
      <c r="G32" s="32" t="n"/>
      <c r="H32" s="32" t="n"/>
      <c r="I32" s="32" t="n"/>
      <c r="J32" s="50">
        <f>IF(A32="","",COUNTIFS(Contratos!$C$4:$C$100, A32, Contratos!$J$4:$J$100, "Activo"))</f>
        <v/>
      </c>
      <c r="K32" s="16">
        <f>IF(A32="","",IF(J32&gt;1, "⚠️ &gt;1 contrato activo", IF(AND(G32="Disponible", J32&gt;0), "⚠️ Disponible con contrato", IF(AND(G32="Ocupada", J32=0), "⚠️ Ocupada sin contrato", "OK"))))</f>
        <v/>
      </c>
    </row>
    <row r="33">
      <c r="A33" s="34" t="n"/>
      <c r="B33" s="34" t="n"/>
      <c r="C33" s="34" t="n"/>
      <c r="D33" s="34" t="n"/>
      <c r="E33" s="51" t="n"/>
      <c r="F33" s="52" t="n"/>
      <c r="G33" s="34" t="n"/>
      <c r="H33" s="34" t="n"/>
      <c r="I33" s="34" t="n"/>
      <c r="J33" s="53">
        <f>IF(A33="","",COUNTIFS(Contratos!$C$4:$C$100, A33, Contratos!$J$4:$J$100, "Activo"))</f>
        <v/>
      </c>
      <c r="K33" s="22">
        <f>IF(A33="","",IF(J33&gt;1, "⚠️ &gt;1 contrato activo", IF(AND(G33="Disponible", J33&gt;0), "⚠️ Disponible con contrato", IF(AND(G33="Ocupada", J33=0), "⚠️ Ocupada sin contrato", "OK"))))</f>
        <v/>
      </c>
    </row>
    <row r="34">
      <c r="A34" s="32" t="n"/>
      <c r="B34" s="32" t="n"/>
      <c r="C34" s="32" t="n"/>
      <c r="D34" s="32" t="n"/>
      <c r="E34" s="48" t="n"/>
      <c r="F34" s="49" t="n"/>
      <c r="G34" s="32" t="n"/>
      <c r="H34" s="32" t="n"/>
      <c r="I34" s="32" t="n"/>
      <c r="J34" s="50">
        <f>IF(A34="","",COUNTIFS(Contratos!$C$4:$C$100, A34, Contratos!$J$4:$J$100, "Activo"))</f>
        <v/>
      </c>
      <c r="K34" s="16">
        <f>IF(A34="","",IF(J34&gt;1, "⚠️ &gt;1 contrato activo", IF(AND(G34="Disponible", J34&gt;0), "⚠️ Disponible con contrato", IF(AND(G34="Ocupada", J34=0), "⚠️ Ocupada sin contrato", "OK"))))</f>
        <v/>
      </c>
    </row>
    <row r="35">
      <c r="A35" s="34" t="n"/>
      <c r="B35" s="34" t="n"/>
      <c r="C35" s="34" t="n"/>
      <c r="D35" s="34" t="n"/>
      <c r="E35" s="51" t="n"/>
      <c r="F35" s="52" t="n"/>
      <c r="G35" s="34" t="n"/>
      <c r="H35" s="34" t="n"/>
      <c r="I35" s="34" t="n"/>
      <c r="J35" s="53">
        <f>IF(A35="","",COUNTIFS(Contratos!$C$4:$C$100, A35, Contratos!$J$4:$J$100, "Activo"))</f>
        <v/>
      </c>
      <c r="K35" s="22">
        <f>IF(A35="","",IF(J35&gt;1, "⚠️ &gt;1 contrato activo", IF(AND(G35="Disponible", J35&gt;0), "⚠️ Disponible con contrato", IF(AND(G35="Ocupada", J35=0), "⚠️ Ocupada sin contrato", "OK"))))</f>
        <v/>
      </c>
    </row>
    <row r="36">
      <c r="A36" s="32" t="n"/>
      <c r="B36" s="32" t="n"/>
      <c r="C36" s="32" t="n"/>
      <c r="D36" s="32" t="n"/>
      <c r="E36" s="48" t="n"/>
      <c r="F36" s="49" t="n"/>
      <c r="G36" s="32" t="n"/>
      <c r="H36" s="32" t="n"/>
      <c r="I36" s="32" t="n"/>
      <c r="J36" s="50">
        <f>IF(A36="","",COUNTIFS(Contratos!$C$4:$C$100, A36, Contratos!$J$4:$J$100, "Activo"))</f>
        <v/>
      </c>
      <c r="K36" s="16">
        <f>IF(A36="","",IF(J36&gt;1, "⚠️ &gt;1 contrato activo", IF(AND(G36="Disponible", J36&gt;0), "⚠️ Disponible con contrato", IF(AND(G36="Ocupada", J36=0), "⚠️ Ocupada sin contrato", "OK"))))</f>
        <v/>
      </c>
    </row>
    <row r="37">
      <c r="A37" s="34" t="n"/>
      <c r="B37" s="34" t="n"/>
      <c r="C37" s="34" t="n"/>
      <c r="D37" s="34" t="n"/>
      <c r="E37" s="51" t="n"/>
      <c r="F37" s="52" t="n"/>
      <c r="G37" s="34" t="n"/>
      <c r="H37" s="34" t="n"/>
      <c r="I37" s="34" t="n"/>
      <c r="J37" s="53">
        <f>IF(A37="","",COUNTIFS(Contratos!$C$4:$C$100, A37, Contratos!$J$4:$J$100, "Activo"))</f>
        <v/>
      </c>
      <c r="K37" s="22">
        <f>IF(A37="","",IF(J37&gt;1, "⚠️ &gt;1 contrato activo", IF(AND(G37="Disponible", J37&gt;0), "⚠️ Disponible con contrato", IF(AND(G37="Ocupada", J37=0), "⚠️ Ocupada sin contrato", "OK"))))</f>
        <v/>
      </c>
    </row>
    <row r="38">
      <c r="A38" s="32" t="n"/>
      <c r="B38" s="32" t="n"/>
      <c r="C38" s="32" t="n"/>
      <c r="D38" s="32" t="n"/>
      <c r="E38" s="48" t="n"/>
      <c r="F38" s="49" t="n"/>
      <c r="G38" s="32" t="n"/>
      <c r="H38" s="32" t="n"/>
      <c r="I38" s="32" t="n"/>
      <c r="J38" s="50">
        <f>IF(A38="","",COUNTIFS(Contratos!$C$4:$C$100, A38, Contratos!$J$4:$J$100, "Activo"))</f>
        <v/>
      </c>
      <c r="K38" s="16">
        <f>IF(A38="","",IF(J38&gt;1, "⚠️ &gt;1 contrato activo", IF(AND(G38="Disponible", J38&gt;0), "⚠️ Disponible con contrato", IF(AND(G38="Ocupada", J38=0), "⚠️ Ocupada sin contrato", "OK"))))</f>
        <v/>
      </c>
    </row>
    <row r="39">
      <c r="A39" s="34" t="n"/>
      <c r="B39" s="34" t="n"/>
      <c r="C39" s="34" t="n"/>
      <c r="D39" s="34" t="n"/>
      <c r="E39" s="51" t="n"/>
      <c r="F39" s="52" t="n"/>
      <c r="G39" s="34" t="n"/>
      <c r="H39" s="34" t="n"/>
      <c r="I39" s="34" t="n"/>
      <c r="J39" s="53">
        <f>IF(A39="","",COUNTIFS(Contratos!$C$4:$C$100, A39, Contratos!$J$4:$J$100, "Activo"))</f>
        <v/>
      </c>
      <c r="K39" s="22">
        <f>IF(A39="","",IF(J39&gt;1, "⚠️ &gt;1 contrato activo", IF(AND(G39="Disponible", J39&gt;0), "⚠️ Disponible con contrato", IF(AND(G39="Ocupada", J39=0), "⚠️ Ocupada sin contrato", "OK"))))</f>
        <v/>
      </c>
    </row>
    <row r="40">
      <c r="A40" s="32" t="n"/>
      <c r="B40" s="32" t="n"/>
      <c r="C40" s="32" t="n"/>
      <c r="D40" s="32" t="n"/>
      <c r="E40" s="48" t="n"/>
      <c r="F40" s="49" t="n"/>
      <c r="G40" s="32" t="n"/>
      <c r="H40" s="32" t="n"/>
      <c r="I40" s="32" t="n"/>
      <c r="J40" s="50">
        <f>IF(A40="","",COUNTIFS(Contratos!$C$4:$C$100, A40, Contratos!$J$4:$J$100, "Activo"))</f>
        <v/>
      </c>
      <c r="K40" s="16">
        <f>IF(A40="","",IF(J40&gt;1, "⚠️ &gt;1 contrato activo", IF(AND(G40="Disponible", J40&gt;0), "⚠️ Disponible con contrato", IF(AND(G40="Ocupada", J40=0), "⚠️ Ocupada sin contrato", "OK"))))</f>
        <v/>
      </c>
    </row>
    <row r="41">
      <c r="A41" s="34" t="n"/>
      <c r="B41" s="34" t="n"/>
      <c r="C41" s="34" t="n"/>
      <c r="D41" s="34" t="n"/>
      <c r="E41" s="51" t="n"/>
      <c r="F41" s="52" t="n"/>
      <c r="G41" s="34" t="n"/>
      <c r="H41" s="34" t="n"/>
      <c r="I41" s="34" t="n"/>
      <c r="J41" s="53">
        <f>IF(A41="","",COUNTIFS(Contratos!$C$4:$C$100, A41, Contratos!$J$4:$J$100, "Activo"))</f>
        <v/>
      </c>
      <c r="K41" s="22">
        <f>IF(A41="","",IF(J41&gt;1, "⚠️ &gt;1 contrato activo", IF(AND(G41="Disponible", J41&gt;0), "⚠️ Disponible con contrato", IF(AND(G41="Ocupada", J41=0), "⚠️ Ocupada sin contrato", "OK"))))</f>
        <v/>
      </c>
    </row>
    <row r="42">
      <c r="A42" s="32" t="n"/>
      <c r="B42" s="32" t="n"/>
      <c r="C42" s="32" t="n"/>
      <c r="D42" s="32" t="n"/>
      <c r="E42" s="48" t="n"/>
      <c r="F42" s="49" t="n"/>
      <c r="G42" s="32" t="n"/>
      <c r="H42" s="32" t="n"/>
      <c r="I42" s="32" t="n"/>
      <c r="J42" s="50">
        <f>IF(A42="","",COUNTIFS(Contratos!$C$4:$C$100, A42, Contratos!$J$4:$J$100, "Activo"))</f>
        <v/>
      </c>
      <c r="K42" s="16">
        <f>IF(A42="","",IF(J42&gt;1, "⚠️ &gt;1 contrato activo", IF(AND(G42="Disponible", J42&gt;0), "⚠️ Disponible con contrato", IF(AND(G42="Ocupada", J42=0), "⚠️ Ocupada sin contrato", "OK"))))</f>
        <v/>
      </c>
    </row>
    <row r="43">
      <c r="A43" s="34" t="n"/>
      <c r="B43" s="34" t="n"/>
      <c r="C43" s="34" t="n"/>
      <c r="D43" s="34" t="n"/>
      <c r="E43" s="51" t="n"/>
      <c r="F43" s="52" t="n"/>
      <c r="G43" s="34" t="n"/>
      <c r="H43" s="34" t="n"/>
      <c r="I43" s="34" t="n"/>
      <c r="J43" s="53">
        <f>IF(A43="","",COUNTIFS(Contratos!$C$4:$C$100, A43, Contratos!$J$4:$J$100, "Activo"))</f>
        <v/>
      </c>
      <c r="K43" s="22">
        <f>IF(A43="","",IF(J43&gt;1, "⚠️ &gt;1 contrato activo", IF(AND(G43="Disponible", J43&gt;0), "⚠️ Disponible con contrato", IF(AND(G43="Ocupada", J43=0), "⚠️ Ocupada sin contrato", "OK"))))</f>
        <v/>
      </c>
    </row>
    <row r="44">
      <c r="A44" s="32" t="n"/>
      <c r="B44" s="32" t="n"/>
      <c r="C44" s="32" t="n"/>
      <c r="D44" s="32" t="n"/>
      <c r="E44" s="48" t="n"/>
      <c r="F44" s="49" t="n"/>
      <c r="G44" s="32" t="n"/>
      <c r="H44" s="32" t="n"/>
      <c r="I44" s="32" t="n"/>
      <c r="J44" s="50">
        <f>IF(A44="","",COUNTIFS(Contratos!$C$4:$C$100, A44, Contratos!$J$4:$J$100, "Activo"))</f>
        <v/>
      </c>
      <c r="K44" s="16">
        <f>IF(A44="","",IF(J44&gt;1, "⚠️ &gt;1 contrato activo", IF(AND(G44="Disponible", J44&gt;0), "⚠️ Disponible con contrato", IF(AND(G44="Ocupada", J44=0), "⚠️ Ocupada sin contrato", "OK"))))</f>
        <v/>
      </c>
    </row>
  </sheetData>
  <conditionalFormatting sqref="G4:G50">
    <cfRule type="cellIs" priority="1" operator="equal" dxfId="0">
      <formula>"Disponible"</formula>
    </cfRule>
    <cfRule type="cellIs" priority="2" operator="equal" dxfId="2">
      <formula>"Ocupada"</formula>
    </cfRule>
    <cfRule type="cellIs" priority="3" operator="equal" dxfId="1">
      <formula>"No rentable temporalmente"</formula>
    </cfRule>
    <cfRule type="cellIs" priority="4" operator="equal" dxfId="3">
      <formula>"Fuera de inventario"</formula>
    </cfRule>
  </conditionalFormatting>
  <conditionalFormatting sqref="K4:K50">
    <cfRule type="cellIs" priority="5" operator="equal" dxfId="0">
      <formula>"OK"</formula>
    </cfRule>
    <cfRule type="expression" priority="6" dxfId="4">
      <formula>ISNUMBER(SEARCH("⚠️", K4))</formula>
    </cfRule>
  </conditionalFormatting>
  <dataValidations count="2">
    <dataValidation sqref="B4:B50" showDropDown="0" showInputMessage="0" showErrorMessage="0" allowBlank="1" type="list">
      <formula1>=ListaCentros</formula1>
    </dataValidation>
    <dataValidation sqref="G4:G50" showDropDown="0" showInputMessage="0" showErrorMessage="0" allowBlank="1" type="list">
      <formula1>=ListaEstadosUnidad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4F46E5"/>
    <outlinePr summaryBelow="1" summaryRight="1"/>
    <pageSetUpPr/>
  </sheetPr>
  <dimension ref="A1:J3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16" customWidth="1" min="4" max="4"/>
    <col width="18" customWidth="1" min="5" max="5"/>
    <col width="32" customWidth="1" min="6" max="6"/>
    <col width="16" customWidth="1" min="7" max="7"/>
    <col width="14" customWidth="1" min="8" max="8"/>
    <col width="24" customWidth="1" min="9" max="9"/>
    <col width="38" customWidth="1" min="10" max="10"/>
  </cols>
  <sheetData>
    <row r="1">
      <c r="A1" s="1" t="inlineStr">
        <is>
          <t>GESTIONATRASTEROS · DIRECTORIO DE CLIENTES</t>
        </is>
      </c>
    </row>
    <row r="2">
      <c r="A2" s="3" t="inlineStr">
        <is>
          <t>Minimización RGPD: no almacenar números de tarjeta ni datos bancarios en campos de texto libre.</t>
        </is>
      </c>
    </row>
    <row r="3">
      <c r="A3" s="12" t="inlineStr">
        <is>
          <t>ID Cliente</t>
        </is>
      </c>
      <c r="B3" s="12" t="inlineStr">
        <is>
          <t>Tipo</t>
        </is>
      </c>
      <c r="C3" s="13" t="inlineStr">
        <is>
          <t>Nombre o razón social</t>
        </is>
      </c>
      <c r="D3" s="12" t="inlineStr">
        <is>
          <t>NIF / CIF</t>
        </is>
      </c>
      <c r="E3" s="12" t="inlineStr">
        <is>
          <t>Teléfono</t>
        </is>
      </c>
      <c r="F3" s="13" t="inlineStr">
        <is>
          <t>Email</t>
        </is>
      </c>
      <c r="G3" s="12" t="inlineStr">
        <is>
          <t>Fecha de alta</t>
        </is>
      </c>
      <c r="H3" s="12" t="inlineStr">
        <is>
          <t>Estado</t>
        </is>
      </c>
      <c r="I3" s="12" t="inlineStr">
        <is>
          <t>Ref. custodia documental</t>
        </is>
      </c>
      <c r="J3" s="13" t="inlineStr">
        <is>
          <t>Notas operativas</t>
        </is>
      </c>
    </row>
    <row r="4">
      <c r="A4" s="14" t="inlineStr">
        <is>
          <t>CLI-001</t>
        </is>
      </c>
      <c r="B4" s="16" t="inlineStr">
        <is>
          <t>Particular</t>
        </is>
      </c>
      <c r="C4" s="15" t="inlineStr">
        <is>
          <t>Elena Gómez Martínez</t>
        </is>
      </c>
      <c r="D4" s="16" t="inlineStr">
        <is>
          <t>***4521*B</t>
        </is>
      </c>
      <c r="E4" s="16" t="inlineStr">
        <is>
          <t>+34 612 345 678</t>
        </is>
      </c>
      <c r="F4" s="15" t="inlineStr">
        <is>
          <t>elena.gomez@ejemplo.com</t>
        </is>
      </c>
      <c r="G4" s="39" t="inlineStr">
        <is>
          <t>2026-01-20</t>
        </is>
      </c>
      <c r="H4" s="38" t="inlineStr">
        <is>
          <t>Activo</t>
        </is>
      </c>
      <c r="I4" s="16" t="inlineStr">
        <is>
          <t>DOC-CLI-001</t>
        </is>
      </c>
      <c r="J4" s="15" t="inlineStr">
        <is>
          <t>Mudanza de vivienda temporal</t>
        </is>
      </c>
    </row>
    <row r="5">
      <c r="A5" s="20" t="inlineStr">
        <is>
          <t>CLI-002</t>
        </is>
      </c>
      <c r="B5" s="22" t="inlineStr">
        <is>
          <t>Particular</t>
        </is>
      </c>
      <c r="C5" s="21" t="inlineStr">
        <is>
          <t>Carlos Méndez Navarro</t>
        </is>
      </c>
      <c r="D5" s="22" t="inlineStr">
        <is>
          <t>***8932*K</t>
        </is>
      </c>
      <c r="E5" s="22" t="inlineStr">
        <is>
          <t>+34 623 456 789</t>
        </is>
      </c>
      <c r="F5" s="21" t="inlineStr">
        <is>
          <t>carlos.mendez@ejemplo.com</t>
        </is>
      </c>
      <c r="G5" s="40" t="inlineStr">
        <is>
          <t>2026-01-20</t>
        </is>
      </c>
      <c r="H5" s="38" t="inlineStr">
        <is>
          <t>Activo</t>
        </is>
      </c>
      <c r="I5" s="22" t="inlineStr">
        <is>
          <t>DOC-CLI-002</t>
        </is>
      </c>
      <c r="J5" s="21" t="inlineStr">
        <is>
          <t>Guarda material de ciclismo y esquí</t>
        </is>
      </c>
    </row>
    <row r="6">
      <c r="A6" s="14" t="inlineStr">
        <is>
          <t>CLI-003</t>
        </is>
      </c>
      <c r="B6" s="16" t="inlineStr">
        <is>
          <t>Empresa</t>
        </is>
      </c>
      <c r="C6" s="15" t="inlineStr">
        <is>
          <t>Reformas Alcaraz S.L.</t>
        </is>
      </c>
      <c r="D6" s="16" t="inlineStr">
        <is>
          <t>B***8712</t>
        </is>
      </c>
      <c r="E6" s="16" t="inlineStr">
        <is>
          <t>+34 911 223 344</t>
        </is>
      </c>
      <c r="F6" s="15" t="inlineStr">
        <is>
          <t>administracion@alcarazreformas.es</t>
        </is>
      </c>
      <c r="G6" s="39" t="inlineStr">
        <is>
          <t>2026-02-01</t>
        </is>
      </c>
      <c r="H6" s="38" t="inlineStr">
        <is>
          <t>Activo</t>
        </is>
      </c>
      <c r="I6" s="16" t="inlineStr">
        <is>
          <t>DOC-CLI-003</t>
        </is>
      </c>
      <c r="J6" s="15" t="inlineStr">
        <is>
          <t>Almacén de herramientas de obra</t>
        </is>
      </c>
    </row>
    <row r="7">
      <c r="A7" s="20" t="inlineStr">
        <is>
          <t>CLI-004</t>
        </is>
      </c>
      <c r="B7" s="22" t="inlineStr">
        <is>
          <t>Particular</t>
        </is>
      </c>
      <c r="C7" s="21" t="inlineStr">
        <is>
          <t>Lucía Fernández Santos</t>
        </is>
      </c>
      <c r="D7" s="22" t="inlineStr">
        <is>
          <t>***1209*P</t>
        </is>
      </c>
      <c r="E7" s="22" t="inlineStr">
        <is>
          <t>+34 634 567 890</t>
        </is>
      </c>
      <c r="F7" s="21" t="inlineStr">
        <is>
          <t>lucia.fernandez@ejemplo.com</t>
        </is>
      </c>
      <c r="G7" s="40" t="inlineStr">
        <is>
          <t>2026-02-15</t>
        </is>
      </c>
      <c r="H7" s="38" t="inlineStr">
        <is>
          <t>Activo</t>
        </is>
      </c>
      <c r="I7" s="22" t="inlineStr">
        <is>
          <t>DOC-CLI-004</t>
        </is>
      </c>
      <c r="J7" s="21" t="inlineStr">
        <is>
          <t>Enseres del hogar por reforma</t>
        </is>
      </c>
    </row>
    <row r="8">
      <c r="A8" s="14" t="inlineStr">
        <is>
          <t>CLI-005</t>
        </is>
      </c>
      <c r="B8" s="16" t="inlineStr">
        <is>
          <t>Particular</t>
        </is>
      </c>
      <c r="C8" s="15" t="inlineStr">
        <is>
          <t>Javier Romero Gil</t>
        </is>
      </c>
      <c r="D8" s="16" t="inlineStr">
        <is>
          <t>***7654*M</t>
        </is>
      </c>
      <c r="E8" s="16" t="inlineStr">
        <is>
          <t>+34 645 678 901</t>
        </is>
      </c>
      <c r="F8" s="15" t="inlineStr">
        <is>
          <t>javier.romero@ejemplo.com</t>
        </is>
      </c>
      <c r="G8" s="39" t="inlineStr">
        <is>
          <t>2026-03-01</t>
        </is>
      </c>
      <c r="H8" s="38" t="inlineStr">
        <is>
          <t>Activo</t>
        </is>
      </c>
      <c r="I8" s="16" t="inlineStr">
        <is>
          <t>DOC-CLI-005</t>
        </is>
      </c>
      <c r="J8" s="15" t="inlineStr">
        <is>
          <t>Alquiler prolongado sin fecha fin</t>
        </is>
      </c>
    </row>
    <row r="9">
      <c r="A9" s="20" t="inlineStr">
        <is>
          <t>CLI-006</t>
        </is>
      </c>
      <c r="B9" s="22" t="inlineStr">
        <is>
          <t>Particular</t>
        </is>
      </c>
      <c r="C9" s="21" t="inlineStr">
        <is>
          <t>Sofía Vargas Vega</t>
        </is>
      </c>
      <c r="D9" s="22" t="inlineStr">
        <is>
          <t>***3412*R</t>
        </is>
      </c>
      <c r="E9" s="22" t="inlineStr">
        <is>
          <t>+34 656 789 012</t>
        </is>
      </c>
      <c r="F9" s="21" t="inlineStr">
        <is>
          <t>sofia.vargas@ejemplo.com</t>
        </is>
      </c>
      <c r="G9" s="40" t="inlineStr">
        <is>
          <t>2026-03-10</t>
        </is>
      </c>
      <c r="H9" s="38" t="inlineStr">
        <is>
          <t>Activo</t>
        </is>
      </c>
      <c r="I9" s="22" t="inlineStr">
        <is>
          <t>DOC-CLI-006</t>
        </is>
      </c>
      <c r="J9" s="21" t="inlineStr">
        <is>
          <t>Muebles y cajas de mudanza</t>
        </is>
      </c>
    </row>
    <row r="10">
      <c r="A10" s="14" t="inlineStr">
        <is>
          <t>CLI-007</t>
        </is>
      </c>
      <c r="B10" s="16" t="inlineStr">
        <is>
          <t>Empresa</t>
        </is>
      </c>
      <c r="C10" s="15" t="inlineStr">
        <is>
          <t>Logística Urbana Madrid S.L.</t>
        </is>
      </c>
      <c r="D10" s="16" t="inlineStr">
        <is>
          <t>B***3491</t>
        </is>
      </c>
      <c r="E10" s="16" t="inlineStr">
        <is>
          <t>+34 912 334 455</t>
        </is>
      </c>
      <c r="F10" s="15" t="inlineStr">
        <is>
          <t>operaciones@logisticaurbana.es</t>
        </is>
      </c>
      <c r="G10" s="39" t="inlineStr">
        <is>
          <t>2026-03-15</t>
        </is>
      </c>
      <c r="H10" s="38" t="inlineStr">
        <is>
          <t>Activo</t>
        </is>
      </c>
      <c r="I10" s="16" t="inlineStr">
        <is>
          <t>DOC-CLI-007</t>
        </is>
      </c>
      <c r="J10" s="15" t="inlineStr">
        <is>
          <t>Stock de distribución última milla</t>
        </is>
      </c>
    </row>
    <row r="11">
      <c r="A11" s="20" t="inlineStr">
        <is>
          <t>CLI-008</t>
        </is>
      </c>
      <c r="B11" s="22" t="inlineStr">
        <is>
          <t>Particular</t>
        </is>
      </c>
      <c r="C11" s="21" t="inlineStr">
        <is>
          <t>Marcos Delgado Rius</t>
        </is>
      </c>
      <c r="D11" s="22" t="inlineStr">
        <is>
          <t>***6781*D</t>
        </is>
      </c>
      <c r="E11" s="22" t="inlineStr">
        <is>
          <t>+34 667 890 123</t>
        </is>
      </c>
      <c r="F11" s="21" t="inlineStr">
        <is>
          <t>marcos.delgado@ejemplo.com</t>
        </is>
      </c>
      <c r="G11" s="40" t="inlineStr">
        <is>
          <t>2026-03-15</t>
        </is>
      </c>
      <c r="H11" s="38" t="inlineStr">
        <is>
          <t>Activo</t>
        </is>
      </c>
      <c r="I11" s="22" t="inlineStr">
        <is>
          <t>DOC-CLI-008</t>
        </is>
      </c>
      <c r="J11" s="21" t="inlineStr">
        <is>
          <t>Cajas de archivo y libros</t>
        </is>
      </c>
    </row>
    <row r="12">
      <c r="A12" s="14" t="inlineStr">
        <is>
          <t>CLI-009</t>
        </is>
      </c>
      <c r="B12" s="16" t="inlineStr">
        <is>
          <t>Empresa</t>
        </is>
      </c>
      <c r="C12" s="15" t="inlineStr">
        <is>
          <t>Estudio Prisma Arquitectura S.L.</t>
        </is>
      </c>
      <c r="D12" s="16" t="inlineStr">
        <is>
          <t>B***9021</t>
        </is>
      </c>
      <c r="E12" s="16" t="inlineStr">
        <is>
          <t>+34 913 445 566</t>
        </is>
      </c>
      <c r="F12" s="15" t="inlineStr">
        <is>
          <t>estudio@prisma-arq.es</t>
        </is>
      </c>
      <c r="G12" s="39" t="inlineStr">
        <is>
          <t>2026-04-01</t>
        </is>
      </c>
      <c r="H12" s="38" t="inlineStr">
        <is>
          <t>Activo</t>
        </is>
      </c>
      <c r="I12" s="16" t="inlineStr">
        <is>
          <t>DOC-CLI-009</t>
        </is>
      </c>
      <c r="J12" s="15" t="inlineStr">
        <is>
          <t>Custodia de planos y maquetas</t>
        </is>
      </c>
    </row>
    <row r="13">
      <c r="A13" s="20" t="inlineStr">
        <is>
          <t>CLI-010</t>
        </is>
      </c>
      <c r="B13" s="22" t="inlineStr">
        <is>
          <t>Particular</t>
        </is>
      </c>
      <c r="C13" s="21" t="inlineStr">
        <is>
          <t>Beatriz Sanz Olmo</t>
        </is>
      </c>
      <c r="D13" s="22" t="inlineStr">
        <is>
          <t>***9901*J</t>
        </is>
      </c>
      <c r="E13" s="22" t="inlineStr">
        <is>
          <t>+34 678 901 234</t>
        </is>
      </c>
      <c r="F13" s="21" t="inlineStr">
        <is>
          <t>beatriz.sanz@ejemplo.com</t>
        </is>
      </c>
      <c r="G13" s="40" t="inlineStr">
        <is>
          <t>2026-04-10</t>
        </is>
      </c>
      <c r="H13" s="38" t="inlineStr">
        <is>
          <t>Activo</t>
        </is>
      </c>
      <c r="I13" s="22" t="inlineStr">
        <is>
          <t>DOC-CLI-010</t>
        </is>
      </c>
      <c r="J13" s="21" t="inlineStr">
        <is>
          <t>Ropa de temporada y maletas</t>
        </is>
      </c>
    </row>
    <row r="14">
      <c r="A14" s="14" t="inlineStr">
        <is>
          <t>CLI-011</t>
        </is>
      </c>
      <c r="B14" s="16" t="inlineStr">
        <is>
          <t>Empresa</t>
        </is>
      </c>
      <c r="C14" s="15" t="inlineStr">
        <is>
          <t>Distribuciones Comerciales Sur S.A.</t>
        </is>
      </c>
      <c r="D14" s="16" t="inlineStr">
        <is>
          <t>A***1123</t>
        </is>
      </c>
      <c r="E14" s="16" t="inlineStr">
        <is>
          <t>+34 914 556 677</t>
        </is>
      </c>
      <c r="F14" s="15" t="inlineStr">
        <is>
          <t>pedidos@distrisur.com</t>
        </is>
      </c>
      <c r="G14" s="39" t="inlineStr">
        <is>
          <t>2026-05-01</t>
        </is>
      </c>
      <c r="H14" s="38" t="inlineStr">
        <is>
          <t>Activo</t>
        </is>
      </c>
      <c r="I14" s="16" t="inlineStr">
        <is>
          <t>DOC-CLI-011</t>
        </is>
      </c>
      <c r="J14" s="15" t="inlineStr">
        <is>
          <t>Catálogos y material promocional</t>
        </is>
      </c>
    </row>
    <row r="15">
      <c r="A15" s="20" t="inlineStr">
        <is>
          <t>CLI-012</t>
        </is>
      </c>
      <c r="B15" s="22" t="inlineStr">
        <is>
          <t>Particular</t>
        </is>
      </c>
      <c r="C15" s="21" t="inlineStr">
        <is>
          <t>Pablo Navarro Herrero</t>
        </is>
      </c>
      <c r="D15" s="22" t="inlineStr">
        <is>
          <t>***5543*C</t>
        </is>
      </c>
      <c r="E15" s="22" t="inlineStr">
        <is>
          <t>+34 689 012 345</t>
        </is>
      </c>
      <c r="F15" s="21" t="inlineStr">
        <is>
          <t>pablo.navarro@ejemplo.com</t>
        </is>
      </c>
      <c r="G15" s="40" t="inlineStr">
        <is>
          <t>2026-05-15</t>
        </is>
      </c>
      <c r="H15" s="38" t="inlineStr">
        <is>
          <t>Activo</t>
        </is>
      </c>
      <c r="I15" s="22" t="inlineStr">
        <is>
          <t>DOC-CLI-012</t>
        </is>
      </c>
      <c r="J15" s="21" t="inlineStr">
        <is>
          <t>Instrumentos y sonido</t>
        </is>
      </c>
    </row>
    <row r="16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</row>
    <row r="17">
      <c r="A17" s="34" t="n"/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</row>
    <row r="18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</row>
    <row r="19">
      <c r="A19" s="34" t="n"/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</row>
    <row r="20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</row>
    <row r="21">
      <c r="A21" s="34" t="n"/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</row>
    <row r="22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</row>
    <row r="23">
      <c r="A23" s="34" t="n"/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</row>
    <row r="24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</row>
    <row r="25">
      <c r="A25" s="34" t="n"/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</row>
    <row r="26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</row>
    <row r="27">
      <c r="A27" s="34" t="n"/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</row>
    <row r="28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</row>
    <row r="29">
      <c r="A29" s="34" t="n"/>
      <c r="B29" s="34" t="n"/>
      <c r="C29" s="34" t="n"/>
      <c r="D29" s="34" t="n"/>
      <c r="E29" s="34" t="n"/>
      <c r="F29" s="34" t="n"/>
      <c r="G29" s="34" t="n"/>
      <c r="H29" s="34" t="n"/>
      <c r="I29" s="34" t="n"/>
      <c r="J29" s="34" t="n"/>
    </row>
    <row r="30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</row>
    <row r="31">
      <c r="A31" s="34" t="n"/>
      <c r="B31" s="34" t="n"/>
      <c r="C31" s="34" t="n"/>
      <c r="D31" s="34" t="n"/>
      <c r="E31" s="34" t="n"/>
      <c r="F31" s="34" t="n"/>
      <c r="G31" s="34" t="n"/>
      <c r="H31" s="34" t="n"/>
      <c r="I31" s="34" t="n"/>
      <c r="J31" s="34" t="n"/>
    </row>
    <row r="32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</row>
    <row r="33">
      <c r="A33" s="34" t="n"/>
      <c r="B33" s="34" t="n"/>
      <c r="C33" s="34" t="n"/>
      <c r="D33" s="34" t="n"/>
      <c r="E33" s="34" t="n"/>
      <c r="F33" s="34" t="n"/>
      <c r="G33" s="34" t="n"/>
      <c r="H33" s="34" t="n"/>
      <c r="I33" s="34" t="n"/>
      <c r="J33" s="34" t="n"/>
    </row>
    <row r="34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</row>
  </sheetData>
  <conditionalFormatting sqref="H4:H50">
    <cfRule type="cellIs" priority="1" operator="equal" dxfId="0">
      <formula>"Activo"</formula>
    </cfRule>
    <cfRule type="cellIs" priority="2" operator="equal" dxfId="3">
      <formula>"Archivado"</formula>
    </cfRule>
  </conditionalFormatting>
  <dataValidations count="2">
    <dataValidation sqref="B4:B50" showDropDown="0" showInputMessage="0" showErrorMessage="0" allowBlank="1" type="list">
      <formula1>=ListaTiposCliente</formula1>
    </dataValidation>
    <dataValidation sqref="H4:H50" showDropDown="0" showInputMessage="0" showErrorMessage="0" allowBlank="1" type="list">
      <formula1>=ListaEstadosCliente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059669"/>
    <outlinePr summaryBelow="1" summaryRight="1"/>
    <pageSetUpPr/>
  </sheetPr>
  <dimension ref="A1:L3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32" customWidth="1" min="5" max="5"/>
    <col width="16" customWidth="1" min="6" max="6"/>
    <col width="16" customWidth="1" min="7" max="7"/>
    <col width="22" customWidth="1" min="8" max="8"/>
    <col width="16" customWidth="1" min="9" max="9"/>
    <col width="16" customWidth="1" min="10" max="10"/>
    <col width="26" customWidth="1" min="11" max="11"/>
    <col width="18" customWidth="1" min="12" max="12"/>
  </cols>
  <sheetData>
    <row r="1">
      <c r="A1" s="1" t="inlineStr">
        <is>
          <t>GESTIONATRASTEROS · REGISTRO DE CONTRATOS</t>
        </is>
      </c>
    </row>
    <row r="2">
      <c r="A2" s="3" t="inlineStr">
        <is>
          <t>Conecta centro, unidad y cliente. Para un nuevo alquiler, crea un contrato nuevo sin sobrescribir.</t>
        </is>
      </c>
    </row>
    <row r="3">
      <c r="A3" s="41" t="inlineStr">
        <is>
          <t>ID Contrato</t>
        </is>
      </c>
      <c r="B3" s="41" t="inlineStr">
        <is>
          <t>ID Centro</t>
        </is>
      </c>
      <c r="C3" s="41" t="inlineStr">
        <is>
          <t>ID Unidad</t>
        </is>
      </c>
      <c r="D3" s="41" t="inlineStr">
        <is>
          <t>ID Cliente</t>
        </is>
      </c>
      <c r="E3" s="42" t="inlineStr">
        <is>
          <t>Nombre Cliente</t>
        </is>
      </c>
      <c r="F3" s="41" t="inlineStr">
        <is>
          <t>Fecha de inicio</t>
        </is>
      </c>
      <c r="G3" s="41" t="inlineStr">
        <is>
          <t>Fecha de fin</t>
        </is>
      </c>
      <c r="H3" s="41" t="inlineStr">
        <is>
          <t>Precio contratado (€)</t>
        </is>
      </c>
      <c r="I3" s="41" t="inlineStr">
        <is>
          <t>Fianza (€)</t>
        </is>
      </c>
      <c r="J3" s="41" t="inlineStr">
        <is>
          <t>Estado</t>
        </is>
      </c>
      <c r="K3" s="41" t="inlineStr">
        <is>
          <t>Ref. documento firmado</t>
        </is>
      </c>
      <c r="L3" s="42" t="inlineStr">
        <is>
          <t>Control fechas</t>
        </is>
      </c>
    </row>
    <row r="4">
      <c r="A4" s="14" t="inlineStr">
        <is>
          <t>CON-000</t>
        </is>
      </c>
      <c r="B4" s="16" t="inlineStr">
        <is>
          <t>CTR-001</t>
        </is>
      </c>
      <c r="C4" s="16" t="inlineStr">
        <is>
          <t>UNI-005</t>
        </is>
      </c>
      <c r="D4" s="16" t="inlineStr">
        <is>
          <t>CLI-002</t>
        </is>
      </c>
      <c r="E4" s="54">
        <f>IFERROR(VLOOKUP(D4, Clientes!$A$4:$C$100, 3, FALSE), "⚠️ Cliente no existe")</f>
        <v/>
      </c>
      <c r="F4" s="39" t="inlineStr">
        <is>
          <t>2026-01-15</t>
        </is>
      </c>
      <c r="G4" s="39" t="inlineStr">
        <is>
          <t>2026-07-31</t>
        </is>
      </c>
      <c r="H4" s="19" t="n">
        <v>125</v>
      </c>
      <c r="I4" s="19" t="n">
        <v>125</v>
      </c>
      <c r="J4" s="47" t="inlineStr">
        <is>
          <t>Finalizado</t>
        </is>
      </c>
      <c r="K4" s="16" t="inlineStr">
        <is>
          <t>CONTR-2026-HIST01.pdf</t>
        </is>
      </c>
      <c r="L4" s="38">
        <f>IF(AND(G4&lt;&gt;"", G4&lt;F4), "⚠️ Fin &lt; Inicio", "OK")</f>
        <v/>
      </c>
    </row>
    <row r="5">
      <c r="A5" s="20" t="inlineStr">
        <is>
          <t>CON-001</t>
        </is>
      </c>
      <c r="B5" s="22" t="inlineStr">
        <is>
          <t>CTR-001</t>
        </is>
      </c>
      <c r="C5" s="22" t="inlineStr">
        <is>
          <t>UNI-001</t>
        </is>
      </c>
      <c r="D5" s="22" t="inlineStr">
        <is>
          <t>CLI-001</t>
        </is>
      </c>
      <c r="E5" s="55">
        <f>IFERROR(VLOOKUP(D5, Clientes!$A$4:$C$100, 3, FALSE), "⚠️ Cliente no existe")</f>
        <v/>
      </c>
      <c r="F5" s="40" t="inlineStr">
        <is>
          <t>2026-01-20</t>
        </is>
      </c>
      <c r="G5" s="40" t="inlineStr"/>
      <c r="H5" s="25" t="n">
        <v>42</v>
      </c>
      <c r="I5" s="25" t="n">
        <v>42</v>
      </c>
      <c r="J5" s="38" t="inlineStr">
        <is>
          <t>Activo</t>
        </is>
      </c>
      <c r="K5" s="22" t="inlineStr">
        <is>
          <t>CONTR-2026-001.pdf</t>
        </is>
      </c>
      <c r="L5" s="38">
        <f>IF(AND(G5&lt;&gt;"", G5&lt;F5), "⚠️ Fin &lt; Inicio", "OK")</f>
        <v/>
      </c>
    </row>
    <row r="6">
      <c r="A6" s="14" t="inlineStr">
        <is>
          <t>CON-002</t>
        </is>
      </c>
      <c r="B6" s="16" t="inlineStr">
        <is>
          <t>CTR-001</t>
        </is>
      </c>
      <c r="C6" s="16" t="inlineStr">
        <is>
          <t>UNI-002</t>
        </is>
      </c>
      <c r="D6" s="16" t="inlineStr">
        <is>
          <t>CLI-002</t>
        </is>
      </c>
      <c r="E6" s="54">
        <f>IFERROR(VLOOKUP(D6, Clientes!$A$4:$C$100, 3, FALSE), "⚠️ Cliente no existe")</f>
        <v/>
      </c>
      <c r="F6" s="39" t="inlineStr">
        <is>
          <t>2026-01-20</t>
        </is>
      </c>
      <c r="G6" s="39" t="inlineStr"/>
      <c r="H6" s="19" t="n">
        <v>55</v>
      </c>
      <c r="I6" s="19" t="n">
        <v>55</v>
      </c>
      <c r="J6" s="38" t="inlineStr">
        <is>
          <t>Activo</t>
        </is>
      </c>
      <c r="K6" s="16" t="inlineStr">
        <is>
          <t>CONTR-2026-002.pdf</t>
        </is>
      </c>
      <c r="L6" s="38">
        <f>IF(AND(G6&lt;&gt;"", G6&lt;F6), "⚠️ Fin &lt; Inicio", "OK")</f>
        <v/>
      </c>
    </row>
    <row r="7">
      <c r="A7" s="20" t="inlineStr">
        <is>
          <t>CON-003</t>
        </is>
      </c>
      <c r="B7" s="22" t="inlineStr">
        <is>
          <t>CTR-001</t>
        </is>
      </c>
      <c r="C7" s="22" t="inlineStr">
        <is>
          <t>UNI-003</t>
        </is>
      </c>
      <c r="D7" s="22" t="inlineStr">
        <is>
          <t>CLI-003</t>
        </is>
      </c>
      <c r="E7" s="55">
        <f>IFERROR(VLOOKUP(D7, Clientes!$A$4:$C$100, 3, FALSE), "⚠️ Cliente no existe")</f>
        <v/>
      </c>
      <c r="F7" s="40" t="inlineStr">
        <is>
          <t>2026-02-01</t>
        </is>
      </c>
      <c r="G7" s="40" t="inlineStr"/>
      <c r="H7" s="25" t="n">
        <v>75</v>
      </c>
      <c r="I7" s="25" t="n">
        <v>150</v>
      </c>
      <c r="J7" s="38" t="inlineStr">
        <is>
          <t>Activo</t>
        </is>
      </c>
      <c r="K7" s="22" t="inlineStr">
        <is>
          <t>CONTR-2026-003.pdf</t>
        </is>
      </c>
      <c r="L7" s="38">
        <f>IF(AND(G7&lt;&gt;"", G7&lt;F7), "⚠️ Fin &lt; Inicio", "OK")</f>
        <v/>
      </c>
    </row>
    <row r="8">
      <c r="A8" s="14" t="inlineStr">
        <is>
          <t>CON-004</t>
        </is>
      </c>
      <c r="B8" s="16" t="inlineStr">
        <is>
          <t>CTR-001</t>
        </is>
      </c>
      <c r="C8" s="16" t="inlineStr">
        <is>
          <t>UNI-004</t>
        </is>
      </c>
      <c r="D8" s="16" t="inlineStr">
        <is>
          <t>CLI-004</t>
        </is>
      </c>
      <c r="E8" s="54">
        <f>IFERROR(VLOOKUP(D8, Clientes!$A$4:$C$100, 3, FALSE), "⚠️ Cliente no existe")</f>
        <v/>
      </c>
      <c r="F8" s="39" t="inlineStr">
        <is>
          <t>2026-02-15</t>
        </is>
      </c>
      <c r="G8" s="39" t="inlineStr"/>
      <c r="H8" s="19" t="n">
        <v>95</v>
      </c>
      <c r="I8" s="19" t="n">
        <v>95</v>
      </c>
      <c r="J8" s="38" t="inlineStr">
        <is>
          <t>Activo</t>
        </is>
      </c>
      <c r="K8" s="16" t="inlineStr">
        <is>
          <t>CONTR-2026-004.pdf</t>
        </is>
      </c>
      <c r="L8" s="38">
        <f>IF(AND(G8&lt;&gt;"", G8&lt;F8), "⚠️ Fin &lt; Inicio", "OK")</f>
        <v/>
      </c>
    </row>
    <row r="9">
      <c r="A9" s="20" t="inlineStr">
        <is>
          <t>CON-005</t>
        </is>
      </c>
      <c r="B9" s="22" t="inlineStr">
        <is>
          <t>CTR-001</t>
        </is>
      </c>
      <c r="C9" s="22" t="inlineStr">
        <is>
          <t>UNI-006</t>
        </is>
      </c>
      <c r="D9" s="22" t="inlineStr">
        <is>
          <t>CLI-005</t>
        </is>
      </c>
      <c r="E9" s="55">
        <f>IFERROR(VLOOKUP(D9, Clientes!$A$4:$C$100, 3, FALSE), "⚠️ Cliente no existe")</f>
        <v/>
      </c>
      <c r="F9" s="40" t="inlineStr">
        <is>
          <t>2026-03-01</t>
        </is>
      </c>
      <c r="G9" s="40" t="inlineStr"/>
      <c r="H9" s="25" t="n">
        <v>155</v>
      </c>
      <c r="I9" s="25" t="n">
        <v>155</v>
      </c>
      <c r="J9" s="38" t="inlineStr">
        <is>
          <t>Activo</t>
        </is>
      </c>
      <c r="K9" s="22" t="inlineStr">
        <is>
          <t>CONTR-2026-005.pdf</t>
        </is>
      </c>
      <c r="L9" s="38">
        <f>IF(AND(G9&lt;&gt;"", G9&lt;F9), "⚠️ Fin &lt; Inicio", "OK")</f>
        <v/>
      </c>
    </row>
    <row r="10">
      <c r="A10" s="14" t="inlineStr">
        <is>
          <t>CON-006</t>
        </is>
      </c>
      <c r="B10" s="16" t="inlineStr">
        <is>
          <t>CTR-001</t>
        </is>
      </c>
      <c r="C10" s="16" t="inlineStr">
        <is>
          <t>UNI-007</t>
        </is>
      </c>
      <c r="D10" s="16" t="inlineStr">
        <is>
          <t>CLI-006</t>
        </is>
      </c>
      <c r="E10" s="54">
        <f>IFERROR(VLOOKUP(D10, Clientes!$A$4:$C$100, 3, FALSE), "⚠️ Cliente no existe")</f>
        <v/>
      </c>
      <c r="F10" s="39" t="inlineStr">
        <is>
          <t>2026-03-10</t>
        </is>
      </c>
      <c r="G10" s="39" t="inlineStr"/>
      <c r="H10" s="19" t="n">
        <v>50</v>
      </c>
      <c r="I10" s="19" t="n">
        <v>50</v>
      </c>
      <c r="J10" s="38" t="inlineStr">
        <is>
          <t>Activo</t>
        </is>
      </c>
      <c r="K10" s="16" t="inlineStr">
        <is>
          <t>CONTR-2026-006.pdf</t>
        </is>
      </c>
      <c r="L10" s="38">
        <f>IF(AND(G10&lt;&gt;"", G10&lt;F10), "⚠️ Fin &lt; Inicio", "OK")</f>
        <v/>
      </c>
    </row>
    <row r="11">
      <c r="A11" s="20" t="inlineStr">
        <is>
          <t>CON-007</t>
        </is>
      </c>
      <c r="B11" s="22" t="inlineStr">
        <is>
          <t>CTR-001</t>
        </is>
      </c>
      <c r="C11" s="22" t="inlineStr">
        <is>
          <t>UNI-010</t>
        </is>
      </c>
      <c r="D11" s="22" t="inlineStr">
        <is>
          <t>CLI-009</t>
        </is>
      </c>
      <c r="E11" s="55">
        <f>IFERROR(VLOOKUP(D11, Clientes!$A$4:$C$100, 3, FALSE), "⚠️ Cliente no existe")</f>
        <v/>
      </c>
      <c r="F11" s="40" t="inlineStr">
        <is>
          <t>2026-04-01</t>
        </is>
      </c>
      <c r="G11" s="40" t="inlineStr"/>
      <c r="H11" s="25" t="n">
        <v>105</v>
      </c>
      <c r="I11" s="25" t="n">
        <v>105</v>
      </c>
      <c r="J11" s="38" t="inlineStr">
        <is>
          <t>Activo</t>
        </is>
      </c>
      <c r="K11" s="22" t="inlineStr">
        <is>
          <t>CONTR-2026-007.pdf</t>
        </is>
      </c>
      <c r="L11" s="38">
        <f>IF(AND(G11&lt;&gt;"", G11&lt;F11), "⚠️ Fin &lt; Inicio", "OK")</f>
        <v/>
      </c>
    </row>
    <row r="12">
      <c r="A12" s="14" t="inlineStr">
        <is>
          <t>CON-008</t>
        </is>
      </c>
      <c r="B12" s="16" t="inlineStr">
        <is>
          <t>CTR-002</t>
        </is>
      </c>
      <c r="C12" s="16" t="inlineStr">
        <is>
          <t>UNI-011</t>
        </is>
      </c>
      <c r="D12" s="16" t="inlineStr">
        <is>
          <t>CLI-007</t>
        </is>
      </c>
      <c r="E12" s="54">
        <f>IFERROR(VLOOKUP(D12, Clientes!$A$4:$C$100, 3, FALSE), "⚠️ Cliente no existe")</f>
        <v/>
      </c>
      <c r="F12" s="39" t="inlineStr">
        <is>
          <t>2026-03-15</t>
        </is>
      </c>
      <c r="G12" s="39" t="inlineStr"/>
      <c r="H12" s="19" t="n">
        <v>50</v>
      </c>
      <c r="I12" s="19" t="n">
        <v>100</v>
      </c>
      <c r="J12" s="38" t="inlineStr">
        <is>
          <t>Activo</t>
        </is>
      </c>
      <c r="K12" s="16" t="inlineStr">
        <is>
          <t>CONTR-2026-008.pdf</t>
        </is>
      </c>
      <c r="L12" s="38">
        <f>IF(AND(G12&lt;&gt;"", G12&lt;F12), "⚠️ Fin &lt; Inicio", "OK")</f>
        <v/>
      </c>
    </row>
    <row r="13">
      <c r="A13" s="20" t="inlineStr">
        <is>
          <t>CON-009</t>
        </is>
      </c>
      <c r="B13" s="22" t="inlineStr">
        <is>
          <t>CTR-002</t>
        </is>
      </c>
      <c r="C13" s="22" t="inlineStr">
        <is>
          <t>UNI-012</t>
        </is>
      </c>
      <c r="D13" s="22" t="inlineStr">
        <is>
          <t>CLI-008</t>
        </is>
      </c>
      <c r="E13" s="55">
        <f>IFERROR(VLOOKUP(D13, Clientes!$A$4:$C$100, 3, FALSE), "⚠️ Cliente no existe")</f>
        <v/>
      </c>
      <c r="F13" s="40" t="inlineStr">
        <is>
          <t>2026-03-15</t>
        </is>
      </c>
      <c r="G13" s="40" t="inlineStr"/>
      <c r="H13" s="25" t="n">
        <v>68</v>
      </c>
      <c r="I13" s="25" t="n">
        <v>68</v>
      </c>
      <c r="J13" s="38" t="inlineStr">
        <is>
          <t>Activo</t>
        </is>
      </c>
      <c r="K13" s="22" t="inlineStr">
        <is>
          <t>CONTR-2026-009.pdf</t>
        </is>
      </c>
      <c r="L13" s="38">
        <f>IF(AND(G13&lt;&gt;"", G13&lt;F13), "⚠️ Fin &lt; Inicio", "OK")</f>
        <v/>
      </c>
    </row>
    <row r="14">
      <c r="A14" s="14" t="inlineStr">
        <is>
          <t>CON-010</t>
        </is>
      </c>
      <c r="B14" s="16" t="inlineStr">
        <is>
          <t>CTR-002</t>
        </is>
      </c>
      <c r="C14" s="16" t="inlineStr">
        <is>
          <t>UNI-014</t>
        </is>
      </c>
      <c r="D14" s="16" t="inlineStr">
        <is>
          <t>CLI-010</t>
        </is>
      </c>
      <c r="E14" s="54">
        <f>IFERROR(VLOOKUP(D14, Clientes!$A$4:$C$100, 3, FALSE), "⚠️ Cliente no existe")</f>
        <v/>
      </c>
      <c r="F14" s="39" t="inlineStr">
        <is>
          <t>2026-04-10</t>
        </is>
      </c>
      <c r="G14" s="39" t="inlineStr"/>
      <c r="H14" s="19" t="n">
        <v>118</v>
      </c>
      <c r="I14" s="19" t="n">
        <v>118</v>
      </c>
      <c r="J14" s="38" t="inlineStr">
        <is>
          <t>Activo</t>
        </is>
      </c>
      <c r="K14" s="16" t="inlineStr">
        <is>
          <t>CONTR-2026-010.pdf</t>
        </is>
      </c>
      <c r="L14" s="38">
        <f>IF(AND(G14&lt;&gt;"", G14&lt;F14), "⚠️ Fin &lt; Inicio", "OK")</f>
        <v/>
      </c>
    </row>
    <row r="15">
      <c r="A15" s="20" t="inlineStr">
        <is>
          <t>CON-011</t>
        </is>
      </c>
      <c r="B15" s="22" t="inlineStr">
        <is>
          <t>CTR-002</t>
        </is>
      </c>
      <c r="C15" s="22" t="inlineStr">
        <is>
          <t>UNI-015</t>
        </is>
      </c>
      <c r="D15" s="22" t="inlineStr">
        <is>
          <t>CLI-011</t>
        </is>
      </c>
      <c r="E15" s="55">
        <f>IFERROR(VLOOKUP(D15, Clientes!$A$4:$C$100, 3, FALSE), "⚠️ Cliente no existe")</f>
        <v/>
      </c>
      <c r="F15" s="40" t="inlineStr">
        <is>
          <t>2026-05-01</t>
        </is>
      </c>
      <c r="G15" s="40" t="inlineStr"/>
      <c r="H15" s="25" t="n">
        <v>140</v>
      </c>
      <c r="I15" s="25" t="n">
        <v>280</v>
      </c>
      <c r="J15" s="38" t="inlineStr">
        <is>
          <t>Activo</t>
        </is>
      </c>
      <c r="K15" s="22" t="inlineStr">
        <is>
          <t>CONTR-2026-011.pdf</t>
        </is>
      </c>
      <c r="L15" s="38">
        <f>IF(AND(G15&lt;&gt;"", G15&lt;F15), "⚠️ Fin &lt; Inicio", "OK")</f>
        <v/>
      </c>
    </row>
    <row r="16">
      <c r="A16" s="14" t="inlineStr">
        <is>
          <t>CON-012</t>
        </is>
      </c>
      <c r="B16" s="16" t="inlineStr">
        <is>
          <t>CTR-002</t>
        </is>
      </c>
      <c r="C16" s="16" t="inlineStr">
        <is>
          <t>UNI-017</t>
        </is>
      </c>
      <c r="D16" s="16" t="inlineStr">
        <is>
          <t>CLI-012</t>
        </is>
      </c>
      <c r="E16" s="54">
        <f>IFERROR(VLOOKUP(D16, Clientes!$A$4:$C$100, 3, FALSE), "⚠️ Cliente no existe")</f>
        <v/>
      </c>
      <c r="F16" s="39" t="inlineStr">
        <is>
          <t>2026-05-15</t>
        </is>
      </c>
      <c r="G16" s="39" t="inlineStr"/>
      <c r="H16" s="19" t="n">
        <v>76</v>
      </c>
      <c r="I16" s="19" t="n">
        <v>76</v>
      </c>
      <c r="J16" s="38" t="inlineStr">
        <is>
          <t>Activo</t>
        </is>
      </c>
      <c r="K16" s="16" t="inlineStr">
        <is>
          <t>CONTR-2026-012.pdf</t>
        </is>
      </c>
      <c r="L16" s="38">
        <f>IF(AND(G16&lt;&gt;"", G16&lt;F16), "⚠️ Fin &lt; Inicio", "OK")</f>
        <v/>
      </c>
    </row>
    <row r="17">
      <c r="A17" s="34" t="n"/>
      <c r="B17" s="34" t="n"/>
      <c r="C17" s="34" t="n"/>
      <c r="D17" s="34" t="n"/>
      <c r="E17" s="55">
        <f>IF(D17="","",IFERROR(VLOOKUP(D17, Clientes!$A$4:$C$100, 3, FALSE), "⚠️ Cliente no existe"))</f>
        <v/>
      </c>
      <c r="F17" s="34" t="n"/>
      <c r="G17" s="34" t="n"/>
      <c r="H17" s="52" t="n"/>
      <c r="I17" s="52" t="n"/>
      <c r="J17" s="34" t="n"/>
      <c r="K17" s="34" t="n"/>
      <c r="L17" s="22">
        <f>IF(F17="","",IF(AND(G17&lt;&gt;"", G17&lt;F17), "⚠️ Fin &lt; Inicio", "OK"))</f>
        <v/>
      </c>
    </row>
    <row r="18">
      <c r="A18" s="32" t="n"/>
      <c r="B18" s="32" t="n"/>
      <c r="C18" s="32" t="n"/>
      <c r="D18" s="32" t="n"/>
      <c r="E18" s="54">
        <f>IF(D18="","",IFERROR(VLOOKUP(D18, Clientes!$A$4:$C$100, 3, FALSE), "⚠️ Cliente no existe"))</f>
        <v/>
      </c>
      <c r="F18" s="32" t="n"/>
      <c r="G18" s="32" t="n"/>
      <c r="H18" s="49" t="n"/>
      <c r="I18" s="49" t="n"/>
      <c r="J18" s="32" t="n"/>
      <c r="K18" s="32" t="n"/>
      <c r="L18" s="16">
        <f>IF(F18="","",IF(AND(G18&lt;&gt;"", G18&lt;F18), "⚠️ Fin &lt; Inicio", "OK"))</f>
        <v/>
      </c>
    </row>
    <row r="19">
      <c r="A19" s="34" t="n"/>
      <c r="B19" s="34" t="n"/>
      <c r="C19" s="34" t="n"/>
      <c r="D19" s="34" t="n"/>
      <c r="E19" s="55">
        <f>IF(D19="","",IFERROR(VLOOKUP(D19, Clientes!$A$4:$C$100, 3, FALSE), "⚠️ Cliente no existe"))</f>
        <v/>
      </c>
      <c r="F19" s="34" t="n"/>
      <c r="G19" s="34" t="n"/>
      <c r="H19" s="52" t="n"/>
      <c r="I19" s="52" t="n"/>
      <c r="J19" s="34" t="n"/>
      <c r="K19" s="34" t="n"/>
      <c r="L19" s="22">
        <f>IF(F19="","",IF(AND(G19&lt;&gt;"", G19&lt;F19), "⚠️ Fin &lt; Inicio", "OK"))</f>
        <v/>
      </c>
    </row>
    <row r="20">
      <c r="A20" s="32" t="n"/>
      <c r="B20" s="32" t="n"/>
      <c r="C20" s="32" t="n"/>
      <c r="D20" s="32" t="n"/>
      <c r="E20" s="54">
        <f>IF(D20="","",IFERROR(VLOOKUP(D20, Clientes!$A$4:$C$100, 3, FALSE), "⚠️ Cliente no existe"))</f>
        <v/>
      </c>
      <c r="F20" s="32" t="n"/>
      <c r="G20" s="32" t="n"/>
      <c r="H20" s="49" t="n"/>
      <c r="I20" s="49" t="n"/>
      <c r="J20" s="32" t="n"/>
      <c r="K20" s="32" t="n"/>
      <c r="L20" s="16">
        <f>IF(F20="","",IF(AND(G20&lt;&gt;"", G20&lt;F20), "⚠️ Fin &lt; Inicio", "OK"))</f>
        <v/>
      </c>
    </row>
    <row r="21">
      <c r="A21" s="34" t="n"/>
      <c r="B21" s="34" t="n"/>
      <c r="C21" s="34" t="n"/>
      <c r="D21" s="34" t="n"/>
      <c r="E21" s="55">
        <f>IF(D21="","",IFERROR(VLOOKUP(D21, Clientes!$A$4:$C$100, 3, FALSE), "⚠️ Cliente no existe"))</f>
        <v/>
      </c>
      <c r="F21" s="34" t="n"/>
      <c r="G21" s="34" t="n"/>
      <c r="H21" s="52" t="n"/>
      <c r="I21" s="52" t="n"/>
      <c r="J21" s="34" t="n"/>
      <c r="K21" s="34" t="n"/>
      <c r="L21" s="22">
        <f>IF(F21="","",IF(AND(G21&lt;&gt;"", G21&lt;F21), "⚠️ Fin &lt; Inicio", "OK"))</f>
        <v/>
      </c>
    </row>
    <row r="22">
      <c r="A22" s="32" t="n"/>
      <c r="B22" s="32" t="n"/>
      <c r="C22" s="32" t="n"/>
      <c r="D22" s="32" t="n"/>
      <c r="E22" s="54">
        <f>IF(D22="","",IFERROR(VLOOKUP(D22, Clientes!$A$4:$C$100, 3, FALSE), "⚠️ Cliente no existe"))</f>
        <v/>
      </c>
      <c r="F22" s="32" t="n"/>
      <c r="G22" s="32" t="n"/>
      <c r="H22" s="49" t="n"/>
      <c r="I22" s="49" t="n"/>
      <c r="J22" s="32" t="n"/>
      <c r="K22" s="32" t="n"/>
      <c r="L22" s="16">
        <f>IF(F22="","",IF(AND(G22&lt;&gt;"", G22&lt;F22), "⚠️ Fin &lt; Inicio", "OK"))</f>
        <v/>
      </c>
    </row>
    <row r="23">
      <c r="A23" s="34" t="n"/>
      <c r="B23" s="34" t="n"/>
      <c r="C23" s="34" t="n"/>
      <c r="D23" s="34" t="n"/>
      <c r="E23" s="55">
        <f>IF(D23="","",IFERROR(VLOOKUP(D23, Clientes!$A$4:$C$100, 3, FALSE), "⚠️ Cliente no existe"))</f>
        <v/>
      </c>
      <c r="F23" s="34" t="n"/>
      <c r="G23" s="34" t="n"/>
      <c r="H23" s="52" t="n"/>
      <c r="I23" s="52" t="n"/>
      <c r="J23" s="34" t="n"/>
      <c r="K23" s="34" t="n"/>
      <c r="L23" s="22">
        <f>IF(F23="","",IF(AND(G23&lt;&gt;"", G23&lt;F23), "⚠️ Fin &lt; Inicio", "OK"))</f>
        <v/>
      </c>
    </row>
    <row r="24">
      <c r="A24" s="32" t="n"/>
      <c r="B24" s="32" t="n"/>
      <c r="C24" s="32" t="n"/>
      <c r="D24" s="32" t="n"/>
      <c r="E24" s="54">
        <f>IF(D24="","",IFERROR(VLOOKUP(D24, Clientes!$A$4:$C$100, 3, FALSE), "⚠️ Cliente no existe"))</f>
        <v/>
      </c>
      <c r="F24" s="32" t="n"/>
      <c r="G24" s="32" t="n"/>
      <c r="H24" s="49" t="n"/>
      <c r="I24" s="49" t="n"/>
      <c r="J24" s="32" t="n"/>
      <c r="K24" s="32" t="n"/>
      <c r="L24" s="16">
        <f>IF(F24="","",IF(AND(G24&lt;&gt;"", G24&lt;F24), "⚠️ Fin &lt; Inicio", "OK"))</f>
        <v/>
      </c>
    </row>
    <row r="25">
      <c r="A25" s="34" t="n"/>
      <c r="B25" s="34" t="n"/>
      <c r="C25" s="34" t="n"/>
      <c r="D25" s="34" t="n"/>
      <c r="E25" s="55">
        <f>IF(D25="","",IFERROR(VLOOKUP(D25, Clientes!$A$4:$C$100, 3, FALSE), "⚠️ Cliente no existe"))</f>
        <v/>
      </c>
      <c r="F25" s="34" t="n"/>
      <c r="G25" s="34" t="n"/>
      <c r="H25" s="52" t="n"/>
      <c r="I25" s="52" t="n"/>
      <c r="J25" s="34" t="n"/>
      <c r="K25" s="34" t="n"/>
      <c r="L25" s="22">
        <f>IF(F25="","",IF(AND(G25&lt;&gt;"", G25&lt;F25), "⚠️ Fin &lt; Inicio", "OK"))</f>
        <v/>
      </c>
    </row>
    <row r="26">
      <c r="A26" s="32" t="n"/>
      <c r="B26" s="32" t="n"/>
      <c r="C26" s="32" t="n"/>
      <c r="D26" s="32" t="n"/>
      <c r="E26" s="54">
        <f>IF(D26="","",IFERROR(VLOOKUP(D26, Clientes!$A$4:$C$100, 3, FALSE), "⚠️ Cliente no existe"))</f>
        <v/>
      </c>
      <c r="F26" s="32" t="n"/>
      <c r="G26" s="32" t="n"/>
      <c r="H26" s="49" t="n"/>
      <c r="I26" s="49" t="n"/>
      <c r="J26" s="32" t="n"/>
      <c r="K26" s="32" t="n"/>
      <c r="L26" s="16">
        <f>IF(F26="","",IF(AND(G26&lt;&gt;"", G26&lt;F26), "⚠️ Fin &lt; Inicio", "OK"))</f>
        <v/>
      </c>
    </row>
    <row r="27">
      <c r="A27" s="34" t="n"/>
      <c r="B27" s="34" t="n"/>
      <c r="C27" s="34" t="n"/>
      <c r="D27" s="34" t="n"/>
      <c r="E27" s="55">
        <f>IF(D27="","",IFERROR(VLOOKUP(D27, Clientes!$A$4:$C$100, 3, FALSE), "⚠️ Cliente no existe"))</f>
        <v/>
      </c>
      <c r="F27" s="34" t="n"/>
      <c r="G27" s="34" t="n"/>
      <c r="H27" s="52" t="n"/>
      <c r="I27" s="52" t="n"/>
      <c r="J27" s="34" t="n"/>
      <c r="K27" s="34" t="n"/>
      <c r="L27" s="22">
        <f>IF(F27="","",IF(AND(G27&lt;&gt;"", G27&lt;F27), "⚠️ Fin &lt; Inicio", "OK"))</f>
        <v/>
      </c>
    </row>
    <row r="28">
      <c r="A28" s="32" t="n"/>
      <c r="B28" s="32" t="n"/>
      <c r="C28" s="32" t="n"/>
      <c r="D28" s="32" t="n"/>
      <c r="E28" s="54">
        <f>IF(D28="","",IFERROR(VLOOKUP(D28, Clientes!$A$4:$C$100, 3, FALSE), "⚠️ Cliente no existe"))</f>
        <v/>
      </c>
      <c r="F28" s="32" t="n"/>
      <c r="G28" s="32" t="n"/>
      <c r="H28" s="49" t="n"/>
      <c r="I28" s="49" t="n"/>
      <c r="J28" s="32" t="n"/>
      <c r="K28" s="32" t="n"/>
      <c r="L28" s="16">
        <f>IF(F28="","",IF(AND(G28&lt;&gt;"", G28&lt;F28), "⚠️ Fin &lt; Inicio", "OK"))</f>
        <v/>
      </c>
    </row>
    <row r="29">
      <c r="A29" s="34" t="n"/>
      <c r="B29" s="34" t="n"/>
      <c r="C29" s="34" t="n"/>
      <c r="D29" s="34" t="n"/>
      <c r="E29" s="55">
        <f>IF(D29="","",IFERROR(VLOOKUP(D29, Clientes!$A$4:$C$100, 3, FALSE), "⚠️ Cliente no existe"))</f>
        <v/>
      </c>
      <c r="F29" s="34" t="n"/>
      <c r="G29" s="34" t="n"/>
      <c r="H29" s="52" t="n"/>
      <c r="I29" s="52" t="n"/>
      <c r="J29" s="34" t="n"/>
      <c r="K29" s="34" t="n"/>
      <c r="L29" s="22">
        <f>IF(F29="","",IF(AND(G29&lt;&gt;"", G29&lt;F29), "⚠️ Fin &lt; Inicio", "OK"))</f>
        <v/>
      </c>
    </row>
    <row r="30">
      <c r="A30" s="32" t="n"/>
      <c r="B30" s="32" t="n"/>
      <c r="C30" s="32" t="n"/>
      <c r="D30" s="32" t="n"/>
      <c r="E30" s="54">
        <f>IF(D30="","",IFERROR(VLOOKUP(D30, Clientes!$A$4:$C$100, 3, FALSE), "⚠️ Cliente no existe"))</f>
        <v/>
      </c>
      <c r="F30" s="32" t="n"/>
      <c r="G30" s="32" t="n"/>
      <c r="H30" s="49" t="n"/>
      <c r="I30" s="49" t="n"/>
      <c r="J30" s="32" t="n"/>
      <c r="K30" s="32" t="n"/>
      <c r="L30" s="16">
        <f>IF(F30="","",IF(AND(G30&lt;&gt;"", G30&lt;F30), "⚠️ Fin &lt; Inicio", "OK"))</f>
        <v/>
      </c>
    </row>
    <row r="31">
      <c r="A31" s="34" t="n"/>
      <c r="B31" s="34" t="n"/>
      <c r="C31" s="34" t="n"/>
      <c r="D31" s="34" t="n"/>
      <c r="E31" s="55">
        <f>IF(D31="","",IFERROR(VLOOKUP(D31, Clientes!$A$4:$C$100, 3, FALSE), "⚠️ Cliente no existe"))</f>
        <v/>
      </c>
      <c r="F31" s="34" t="n"/>
      <c r="G31" s="34" t="n"/>
      <c r="H31" s="52" t="n"/>
      <c r="I31" s="52" t="n"/>
      <c r="J31" s="34" t="n"/>
      <c r="K31" s="34" t="n"/>
      <c r="L31" s="22">
        <f>IF(F31="","",IF(AND(G31&lt;&gt;"", G31&lt;F31), "⚠️ Fin &lt; Inicio", "OK"))</f>
        <v/>
      </c>
    </row>
    <row r="32">
      <c r="A32" s="32" t="n"/>
      <c r="B32" s="32" t="n"/>
      <c r="C32" s="32" t="n"/>
      <c r="D32" s="32" t="n"/>
      <c r="E32" s="54">
        <f>IF(D32="","",IFERROR(VLOOKUP(D32, Clientes!$A$4:$C$100, 3, FALSE), "⚠️ Cliente no existe"))</f>
        <v/>
      </c>
      <c r="F32" s="32" t="n"/>
      <c r="G32" s="32" t="n"/>
      <c r="H32" s="49" t="n"/>
      <c r="I32" s="49" t="n"/>
      <c r="J32" s="32" t="n"/>
      <c r="K32" s="32" t="n"/>
      <c r="L32" s="16">
        <f>IF(F32="","",IF(AND(G32&lt;&gt;"", G32&lt;F32), "⚠️ Fin &lt; Inicio", "OK"))</f>
        <v/>
      </c>
    </row>
    <row r="33">
      <c r="A33" s="34" t="n"/>
      <c r="B33" s="34" t="n"/>
      <c r="C33" s="34" t="n"/>
      <c r="D33" s="34" t="n"/>
      <c r="E33" s="55">
        <f>IF(D33="","",IFERROR(VLOOKUP(D33, Clientes!$A$4:$C$100, 3, FALSE), "⚠️ Cliente no existe"))</f>
        <v/>
      </c>
      <c r="F33" s="34" t="n"/>
      <c r="G33" s="34" t="n"/>
      <c r="H33" s="52" t="n"/>
      <c r="I33" s="52" t="n"/>
      <c r="J33" s="34" t="n"/>
      <c r="K33" s="34" t="n"/>
      <c r="L33" s="22">
        <f>IF(F33="","",IF(AND(G33&lt;&gt;"", G33&lt;F33), "⚠️ Fin &lt; Inicio", "OK"))</f>
        <v/>
      </c>
    </row>
    <row r="34">
      <c r="A34" s="32" t="n"/>
      <c r="B34" s="32" t="n"/>
      <c r="C34" s="32" t="n"/>
      <c r="D34" s="32" t="n"/>
      <c r="E34" s="54">
        <f>IF(D34="","",IFERROR(VLOOKUP(D34, Clientes!$A$4:$C$100, 3, FALSE), "⚠️ Cliente no existe"))</f>
        <v/>
      </c>
      <c r="F34" s="32" t="n"/>
      <c r="G34" s="32" t="n"/>
      <c r="H34" s="49" t="n"/>
      <c r="I34" s="49" t="n"/>
      <c r="J34" s="32" t="n"/>
      <c r="K34" s="32" t="n"/>
      <c r="L34" s="16">
        <f>IF(F34="","",IF(AND(G34&lt;&gt;"", G34&lt;F34), "⚠️ Fin &lt; Inicio", "OK"))</f>
        <v/>
      </c>
    </row>
  </sheetData>
  <conditionalFormatting sqref="J4:J50">
    <cfRule type="cellIs" priority="1" operator="equal" dxfId="0">
      <formula>"Activo"</formula>
    </cfRule>
    <cfRule type="cellIs" priority="2" operator="equal" dxfId="3">
      <formula>"Finalizado"</formula>
    </cfRule>
    <cfRule type="cellIs" priority="3" operator="equal" dxfId="1">
      <formula>"Borrador"</formula>
    </cfRule>
  </conditionalFormatting>
  <conditionalFormatting sqref="L4:L50">
    <cfRule type="cellIs" priority="4" operator="equal" dxfId="0">
      <formula>"OK"</formula>
    </cfRule>
    <cfRule type="expression" priority="5" dxfId="4">
      <formula>ISNUMBER(SEARCH("⚠️", L4))</formula>
    </cfRule>
  </conditionalFormatting>
  <dataValidations count="2">
    <dataValidation sqref="B4:B50" showDropDown="0" showInputMessage="0" showErrorMessage="0" allowBlank="1" type="list">
      <formula1>=ListaCentros</formula1>
    </dataValidation>
    <dataValidation sqref="J4:J50" showDropDown="0" showInputMessage="0" showErrorMessage="0" allowBlank="1" type="list">
      <formula1>=ListaEstadosContrato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FFD97706"/>
    <outlinePr summaryBelow="1" summaryRight="1"/>
    <pageSetUpPr/>
  </sheetPr>
  <dimension ref="A1:J4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6" customWidth="1" min="4" max="4"/>
    <col width="18" customWidth="1" min="5" max="5"/>
    <col width="20" customWidth="1" min="6" max="6"/>
    <col width="16" customWidth="1" min="7" max="7"/>
    <col width="18" customWidth="1" min="8" max="8"/>
    <col width="24" customWidth="1" min="9" max="9"/>
    <col width="38" customWidth="1" min="10" max="10"/>
  </cols>
  <sheetData>
    <row r="1">
      <c r="A1" s="1" t="inlineStr">
        <is>
          <t>GESTIONATRASTEROS · REGISTRO DE COBROS MANUALES</t>
        </is>
      </c>
    </row>
    <row r="2">
      <c r="A2" s="3" t="inlineStr">
        <is>
          <t>Tabla vertical de movimientos registrados manualmente. No mezclar con facturación ni dunning.</t>
        </is>
      </c>
    </row>
    <row r="3">
      <c r="A3" s="41" t="inlineStr">
        <is>
          <t>ID Registro</t>
        </is>
      </c>
      <c r="B3" s="41" t="inlineStr">
        <is>
          <t>ID Contrato</t>
        </is>
      </c>
      <c r="C3" s="42" t="inlineStr">
        <is>
          <t>Cliente</t>
        </is>
      </c>
      <c r="D3" s="41" t="inlineStr">
        <is>
          <t>Fecha del cobro</t>
        </is>
      </c>
      <c r="E3" s="41" t="inlineStr">
        <is>
          <t>Importe (€)</t>
        </is>
      </c>
      <c r="F3" s="41" t="inlineStr">
        <is>
          <t>Método</t>
        </is>
      </c>
      <c r="G3" s="41" t="inlineStr">
        <is>
          <t>Periodo / Mes</t>
        </is>
      </c>
      <c r="H3" s="41" t="inlineStr">
        <is>
          <t>Estado revisión</t>
        </is>
      </c>
      <c r="I3" s="41" t="inlineStr">
        <is>
          <t>Referencia justificante</t>
        </is>
      </c>
      <c r="J3" s="41" t="inlineStr">
        <is>
          <t>Notas operativas</t>
        </is>
      </c>
    </row>
    <row r="4">
      <c r="A4" s="14" t="inlineStr">
        <is>
          <t>COB-001</t>
        </is>
      </c>
      <c r="B4" s="16" t="inlineStr">
        <is>
          <t>CON-001</t>
        </is>
      </c>
      <c r="C4" s="54">
        <f>IFERROR(VLOOKUP(B4, Contratos!$A$4:$E$100, 5, FALSE), "⚠️ Contrato no existe")</f>
        <v/>
      </c>
      <c r="D4" s="39" t="inlineStr">
        <is>
          <t>2026-08-02</t>
        </is>
      </c>
      <c r="E4" s="19" t="n">
        <v>42</v>
      </c>
      <c r="F4" s="16" t="inlineStr">
        <is>
          <t>Transferencia</t>
        </is>
      </c>
      <c r="G4" s="16" t="inlineStr">
        <is>
          <t>2026-08</t>
        </is>
      </c>
      <c r="H4" s="38" t="inlineStr">
        <is>
          <t>Comprobado</t>
        </is>
      </c>
      <c r="I4" s="16" t="inlineStr">
        <is>
          <t>TRF-BBVA-88210</t>
        </is>
      </c>
      <c r="J4" s="15" t="inlineStr">
        <is>
          <t>Abono puntual mensual</t>
        </is>
      </c>
    </row>
    <row r="5">
      <c r="A5" s="20" t="inlineStr">
        <is>
          <t>COB-002</t>
        </is>
      </c>
      <c r="B5" s="22" t="inlineStr">
        <is>
          <t>CON-002</t>
        </is>
      </c>
      <c r="C5" s="55">
        <f>IFERROR(VLOOKUP(B5, Contratos!$A$4:$E$100, 5, FALSE), "⚠️ Contrato no existe")</f>
        <v/>
      </c>
      <c r="D5" s="40" t="inlineStr">
        <is>
          <t>2026-08-03</t>
        </is>
      </c>
      <c r="E5" s="25" t="n">
        <v>55</v>
      </c>
      <c r="F5" s="22" t="inlineStr">
        <is>
          <t>Tarjeta bancaria</t>
        </is>
      </c>
      <c r="G5" s="22" t="inlineStr">
        <is>
          <t>2026-08</t>
        </is>
      </c>
      <c r="H5" s="38" t="inlineStr">
        <is>
          <t>Comprobado</t>
        </is>
      </c>
      <c r="I5" s="22" t="inlineStr">
        <is>
          <t>TPV-OP-4491</t>
        </is>
      </c>
      <c r="J5" s="21" t="inlineStr">
        <is>
          <t>Cobro en recepción física</t>
        </is>
      </c>
    </row>
    <row r="6">
      <c r="A6" s="14" t="inlineStr">
        <is>
          <t>COB-003</t>
        </is>
      </c>
      <c r="B6" s="16" t="inlineStr">
        <is>
          <t>CON-003</t>
        </is>
      </c>
      <c r="C6" s="54">
        <f>IFERROR(VLOOKUP(B6, Contratos!$A$4:$E$100, 5, FALSE), "⚠️ Contrato no existe")</f>
        <v/>
      </c>
      <c r="D6" s="39" t="inlineStr">
        <is>
          <t>2026-08-01</t>
        </is>
      </c>
      <c r="E6" s="19" t="n">
        <v>75</v>
      </c>
      <c r="F6" s="16" t="inlineStr">
        <is>
          <t>Transferencia</t>
        </is>
      </c>
      <c r="G6" s="16" t="inlineStr">
        <is>
          <t>2026-08</t>
        </is>
      </c>
      <c r="H6" s="38" t="inlineStr">
        <is>
          <t>Comprobado</t>
        </is>
      </c>
      <c r="I6" s="16" t="inlineStr">
        <is>
          <t>TRF-SAN-99124</t>
        </is>
      </c>
      <c r="J6" s="15" t="inlineStr">
        <is>
          <t>Cuota empresa agosto</t>
        </is>
      </c>
    </row>
    <row r="7">
      <c r="A7" s="20" t="inlineStr">
        <is>
          <t>COB-004</t>
        </is>
      </c>
      <c r="B7" s="22" t="inlineStr">
        <is>
          <t>CON-004</t>
        </is>
      </c>
      <c r="C7" s="55">
        <f>IFERROR(VLOOKUP(B7, Contratos!$A$4:$E$100, 5, FALSE), "⚠️ Contrato no existe")</f>
        <v/>
      </c>
      <c r="D7" s="40" t="inlineStr">
        <is>
          <t>2026-08-05</t>
        </is>
      </c>
      <c r="E7" s="25" t="n">
        <v>95</v>
      </c>
      <c r="F7" s="22" t="inlineStr">
        <is>
          <t>Transferencia</t>
        </is>
      </c>
      <c r="G7" s="22" t="inlineStr">
        <is>
          <t>2026-08</t>
        </is>
      </c>
      <c r="H7" s="38" t="inlineStr">
        <is>
          <t>Comprobado</t>
        </is>
      </c>
      <c r="I7" s="22" t="inlineStr">
        <is>
          <t>TRF-CAIXA-1200</t>
        </is>
      </c>
      <c r="J7" s="21" t="inlineStr">
        <is>
          <t>Transferencia bancaria</t>
        </is>
      </c>
    </row>
    <row r="8">
      <c r="A8" s="14" t="inlineStr">
        <is>
          <t>COB-005</t>
        </is>
      </c>
      <c r="B8" s="16" t="inlineStr">
        <is>
          <t>CON-005</t>
        </is>
      </c>
      <c r="C8" s="54">
        <f>IFERROR(VLOOKUP(B8, Contratos!$A$4:$E$100, 5, FALSE), "⚠️ Contrato no existe")</f>
        <v/>
      </c>
      <c r="D8" s="39" t="inlineStr">
        <is>
          <t>2026-08-01</t>
        </is>
      </c>
      <c r="E8" s="19" t="n">
        <v>155</v>
      </c>
      <c r="F8" s="16" t="inlineStr">
        <is>
          <t>Transferencia</t>
        </is>
      </c>
      <c r="G8" s="16" t="inlineStr">
        <is>
          <t>2026-08</t>
        </is>
      </c>
      <c r="H8" s="38" t="inlineStr">
        <is>
          <t>Comprobado</t>
        </is>
      </c>
      <c r="I8" s="16" t="inlineStr">
        <is>
          <t>TRF-ING-4451</t>
        </is>
      </c>
      <c r="J8" s="15" t="inlineStr">
        <is>
          <t>Cuota mensual normal</t>
        </is>
      </c>
    </row>
    <row r="9">
      <c r="A9" s="20" t="inlineStr">
        <is>
          <t>COB-006</t>
        </is>
      </c>
      <c r="B9" s="22" t="inlineStr">
        <is>
          <t>CON-006</t>
        </is>
      </c>
      <c r="C9" s="55">
        <f>IFERROR(VLOOKUP(B9, Contratos!$A$4:$E$100, 5, FALSE), "⚠️ Contrato no existe")</f>
        <v/>
      </c>
      <c r="D9" s="40" t="inlineStr">
        <is>
          <t>2026-08-04</t>
        </is>
      </c>
      <c r="E9" s="25" t="n">
        <v>50</v>
      </c>
      <c r="F9" s="22" t="inlineStr">
        <is>
          <t>Tarjeta bancaria</t>
        </is>
      </c>
      <c r="G9" s="22" t="inlineStr">
        <is>
          <t>2026-08</t>
        </is>
      </c>
      <c r="H9" s="38" t="inlineStr">
        <is>
          <t>Comprobado</t>
        </is>
      </c>
      <c r="I9" s="22" t="inlineStr">
        <is>
          <t>TPV-OP-4502</t>
        </is>
      </c>
      <c r="J9" s="21" t="inlineStr">
        <is>
          <t>Pago TPV</t>
        </is>
      </c>
    </row>
    <row r="10">
      <c r="A10" s="14" t="inlineStr">
        <is>
          <t>COB-007</t>
        </is>
      </c>
      <c r="B10" s="16" t="inlineStr">
        <is>
          <t>CON-007</t>
        </is>
      </c>
      <c r="C10" s="54">
        <f>IFERROR(VLOOKUP(B10, Contratos!$A$4:$E$100, 5, FALSE), "⚠️ Contrato no existe")</f>
        <v/>
      </c>
      <c r="D10" s="39" t="inlineStr">
        <is>
          <t>2026-08-01</t>
        </is>
      </c>
      <c r="E10" s="19" t="n">
        <v>105</v>
      </c>
      <c r="F10" s="16" t="inlineStr">
        <is>
          <t>Transferencia</t>
        </is>
      </c>
      <c r="G10" s="16" t="inlineStr">
        <is>
          <t>2026-08</t>
        </is>
      </c>
      <c r="H10" s="38" t="inlineStr">
        <is>
          <t>Comprobado</t>
        </is>
      </c>
      <c r="I10" s="16" t="inlineStr">
        <is>
          <t>TRF-SANT-331</t>
        </is>
      </c>
      <c r="J10" s="15" t="inlineStr">
        <is>
          <t>Cuota de arquitectura</t>
        </is>
      </c>
    </row>
    <row r="11">
      <c r="A11" s="20" t="inlineStr">
        <is>
          <t>COB-008</t>
        </is>
      </c>
      <c r="B11" s="22" t="inlineStr">
        <is>
          <t>CON-008</t>
        </is>
      </c>
      <c r="C11" s="55">
        <f>IFERROR(VLOOKUP(B11, Contratos!$A$4:$E$100, 5, FALSE), "⚠️ Contrato no existe")</f>
        <v/>
      </c>
      <c r="D11" s="40" t="inlineStr">
        <is>
          <t>2026-08-02</t>
        </is>
      </c>
      <c r="E11" s="25" t="n">
        <v>50</v>
      </c>
      <c r="F11" s="22" t="inlineStr">
        <is>
          <t>Transferencia</t>
        </is>
      </c>
      <c r="G11" s="22" t="inlineStr">
        <is>
          <t>2026-08</t>
        </is>
      </c>
      <c r="H11" s="38" t="inlineStr">
        <is>
          <t>Comprobado</t>
        </is>
      </c>
      <c r="I11" s="22" t="inlineStr">
        <is>
          <t>TRF-BBVA-9002</t>
        </is>
      </c>
      <c r="J11" s="21" t="inlineStr">
        <is>
          <t>Logística Urbana cuota</t>
        </is>
      </c>
    </row>
    <row r="12">
      <c r="A12" s="14" t="inlineStr">
        <is>
          <t>COB-009</t>
        </is>
      </c>
      <c r="B12" s="16" t="inlineStr">
        <is>
          <t>CON-009</t>
        </is>
      </c>
      <c r="C12" s="54">
        <f>IFERROR(VLOOKUP(B12, Contratos!$A$4:$E$100, 5, FALSE), "⚠️ Contrato no existe")</f>
        <v/>
      </c>
      <c r="D12" s="39" t="inlineStr">
        <is>
          <t>2026-08-03</t>
        </is>
      </c>
      <c r="E12" s="19" t="n">
        <v>68</v>
      </c>
      <c r="F12" s="16" t="inlineStr">
        <is>
          <t>Tarjeta bancaria</t>
        </is>
      </c>
      <c r="G12" s="16" t="inlineStr">
        <is>
          <t>2026-08</t>
        </is>
      </c>
      <c r="H12" s="38" t="inlineStr">
        <is>
          <t>Comprobado</t>
        </is>
      </c>
      <c r="I12" s="16" t="inlineStr">
        <is>
          <t>TPV-OP-4518</t>
        </is>
      </c>
      <c r="J12" s="15" t="inlineStr">
        <is>
          <t>Cobro presencial</t>
        </is>
      </c>
    </row>
    <row r="13">
      <c r="A13" s="20" t="inlineStr">
        <is>
          <t>COB-010</t>
        </is>
      </c>
      <c r="B13" s="22" t="inlineStr">
        <is>
          <t>CON-010</t>
        </is>
      </c>
      <c r="C13" s="55">
        <f>IFERROR(VLOOKUP(B13, Contratos!$A$4:$E$100, 5, FALSE), "⚠️ Contrato no existe")</f>
        <v/>
      </c>
      <c r="D13" s="40" t="inlineStr">
        <is>
          <t>2026-08-05</t>
        </is>
      </c>
      <c r="E13" s="25" t="n">
        <v>118</v>
      </c>
      <c r="F13" s="22" t="inlineStr">
        <is>
          <t>Transferencia</t>
        </is>
      </c>
      <c r="G13" s="22" t="inlineStr">
        <is>
          <t>2026-08</t>
        </is>
      </c>
      <c r="H13" s="38" t="inlineStr">
        <is>
          <t>Comprobado</t>
        </is>
      </c>
      <c r="I13" s="22" t="inlineStr">
        <is>
          <t>TRF-CAIXA-881</t>
        </is>
      </c>
      <c r="J13" s="21" t="inlineStr">
        <is>
          <t>Cuota mensual</t>
        </is>
      </c>
    </row>
    <row r="14">
      <c r="A14" s="14" t="inlineStr">
        <is>
          <t>COB-011</t>
        </is>
      </c>
      <c r="B14" s="16" t="inlineStr">
        <is>
          <t>CON-011</t>
        </is>
      </c>
      <c r="C14" s="54">
        <f>IFERROR(VLOOKUP(B14, Contratos!$A$4:$E$100, 5, FALSE), "⚠️ Contrato no existe")</f>
        <v/>
      </c>
      <c r="D14" s="39" t="inlineStr">
        <is>
          <t>2026-08-01</t>
        </is>
      </c>
      <c r="E14" s="19" t="n">
        <v>140</v>
      </c>
      <c r="F14" s="16" t="inlineStr">
        <is>
          <t>Transferencia</t>
        </is>
      </c>
      <c r="G14" s="16" t="inlineStr">
        <is>
          <t>2026-08</t>
        </is>
      </c>
      <c r="H14" s="38" t="inlineStr">
        <is>
          <t>Comprobado</t>
        </is>
      </c>
      <c r="I14" s="16" t="inlineStr">
        <is>
          <t>TRF-SAB-2291</t>
        </is>
      </c>
      <c r="J14" s="15" t="inlineStr">
        <is>
          <t>DistriSur agosto</t>
        </is>
      </c>
    </row>
    <row r="15">
      <c r="A15" s="20" t="inlineStr">
        <is>
          <t>COB-012</t>
        </is>
      </c>
      <c r="B15" s="22" t="inlineStr">
        <is>
          <t>CON-012</t>
        </is>
      </c>
      <c r="C15" s="55">
        <f>IFERROR(VLOOKUP(B15, Contratos!$A$4:$E$100, 5, FALSE), "⚠️ Contrato no existe")</f>
        <v/>
      </c>
      <c r="D15" s="40" t="inlineStr">
        <is>
          <t>2026-08-05</t>
        </is>
      </c>
      <c r="E15" s="25" t="n">
        <v>76</v>
      </c>
      <c r="F15" s="22" t="inlineStr">
        <is>
          <t>Transferencia</t>
        </is>
      </c>
      <c r="G15" s="22" t="inlineStr">
        <is>
          <t>2026-08</t>
        </is>
      </c>
      <c r="H15" s="38" t="inlineStr">
        <is>
          <t>Comprobado</t>
        </is>
      </c>
      <c r="I15" s="22" t="inlineStr">
        <is>
          <t>TRF-BBVA-1142</t>
        </is>
      </c>
      <c r="J15" s="21" t="inlineStr">
        <is>
          <t>Cuota agosto</t>
        </is>
      </c>
    </row>
    <row r="16">
      <c r="A16" s="14" t="inlineStr">
        <is>
          <t>COB-013</t>
        </is>
      </c>
      <c r="B16" s="16" t="inlineStr">
        <is>
          <t>CON-001</t>
        </is>
      </c>
      <c r="C16" s="54">
        <f>IFERROR(VLOOKUP(B16, Contratos!$A$4:$E$100, 5, FALSE), "⚠️ Contrato no existe")</f>
        <v/>
      </c>
      <c r="D16" s="39" t="inlineStr">
        <is>
          <t>2026-09-01</t>
        </is>
      </c>
      <c r="E16" s="19" t="n">
        <v>42</v>
      </c>
      <c r="F16" s="16" t="inlineStr">
        <is>
          <t>Transferencia</t>
        </is>
      </c>
      <c r="G16" s="16" t="inlineStr">
        <is>
          <t>2026-09</t>
        </is>
      </c>
      <c r="H16" s="38" t="inlineStr">
        <is>
          <t>Comprobado</t>
        </is>
      </c>
      <c r="I16" s="16" t="inlineStr">
        <is>
          <t>TRF-BBVA-9901</t>
        </is>
      </c>
      <c r="J16" s="15" t="inlineStr">
        <is>
          <t>Septiembre puntual</t>
        </is>
      </c>
    </row>
    <row r="17">
      <c r="A17" s="20" t="inlineStr">
        <is>
          <t>COB-014</t>
        </is>
      </c>
      <c r="B17" s="22" t="inlineStr">
        <is>
          <t>CON-002</t>
        </is>
      </c>
      <c r="C17" s="55">
        <f>IFERROR(VLOOKUP(B17, Contratos!$A$4:$E$100, 5, FALSE), "⚠️ Contrato no existe")</f>
        <v/>
      </c>
      <c r="D17" s="40" t="inlineStr">
        <is>
          <t>2026-09-02</t>
        </is>
      </c>
      <c r="E17" s="25" t="n">
        <v>55</v>
      </c>
      <c r="F17" s="22" t="inlineStr">
        <is>
          <t>Tarjeta bancaria</t>
        </is>
      </c>
      <c r="G17" s="22" t="inlineStr">
        <is>
          <t>2026-09</t>
        </is>
      </c>
      <c r="H17" s="38" t="inlineStr">
        <is>
          <t>Comprobado</t>
        </is>
      </c>
      <c r="I17" s="22" t="inlineStr">
        <is>
          <t>TPV-OP-4610</t>
        </is>
      </c>
      <c r="J17" s="21" t="inlineStr">
        <is>
          <t>TPV recepción septiembre</t>
        </is>
      </c>
    </row>
    <row r="18">
      <c r="A18" s="14" t="inlineStr">
        <is>
          <t>COB-015</t>
        </is>
      </c>
      <c r="B18" s="16" t="inlineStr">
        <is>
          <t>CON-003</t>
        </is>
      </c>
      <c r="C18" s="54">
        <f>IFERROR(VLOOKUP(B18, Contratos!$A$4:$E$100, 5, FALSE), "⚠️ Contrato no existe")</f>
        <v/>
      </c>
      <c r="D18" s="39" t="inlineStr">
        <is>
          <t>2026-09-01</t>
        </is>
      </c>
      <c r="E18" s="19" t="n">
        <v>75</v>
      </c>
      <c r="F18" s="16" t="inlineStr">
        <is>
          <t>Transferencia</t>
        </is>
      </c>
      <c r="G18" s="16" t="inlineStr">
        <is>
          <t>2026-09</t>
        </is>
      </c>
      <c r="H18" s="38" t="inlineStr">
        <is>
          <t>Comprobado</t>
        </is>
      </c>
      <c r="I18" s="16" t="inlineStr">
        <is>
          <t>TRF-SAN-1102</t>
        </is>
      </c>
      <c r="J18" s="15" t="inlineStr">
        <is>
          <t>Alcaraz septiembre</t>
        </is>
      </c>
    </row>
    <row r="19">
      <c r="A19" s="20" t="inlineStr">
        <is>
          <t>COB-016</t>
        </is>
      </c>
      <c r="B19" s="22" t="inlineStr">
        <is>
          <t>CON-004</t>
        </is>
      </c>
      <c r="C19" s="55">
        <f>IFERROR(VLOOKUP(B19, Contratos!$A$4:$E$100, 5, FALSE), "⚠️ Contrato no existe")</f>
        <v/>
      </c>
      <c r="D19" s="40" t="inlineStr">
        <is>
          <t>2026-09-05</t>
        </is>
      </c>
      <c r="E19" s="25" t="n">
        <v>95</v>
      </c>
      <c r="F19" s="22" t="inlineStr">
        <is>
          <t>Transferencia</t>
        </is>
      </c>
      <c r="G19" s="22" t="inlineStr">
        <is>
          <t>2026-09</t>
        </is>
      </c>
      <c r="H19" s="46" t="inlineStr">
        <is>
          <t>Pendiente</t>
        </is>
      </c>
      <c r="I19" s="22" t="inlineStr">
        <is>
          <t>TRF-PEND-REV</t>
        </is>
      </c>
      <c r="J19" s="21" t="inlineStr">
        <is>
          <t>Comprobar justificante en banca online</t>
        </is>
      </c>
    </row>
    <row r="20">
      <c r="A20" s="32" t="n"/>
      <c r="B20" s="32" t="n"/>
      <c r="C20" s="54">
        <f>IF(B20="","",IFERROR(VLOOKUP(B20, Contratos!$A$4:$E$100, 5, FALSE), "⚠️ Contrato no existe"))</f>
        <v/>
      </c>
      <c r="D20" s="32" t="n"/>
      <c r="E20" s="49" t="n"/>
      <c r="F20" s="32" t="n"/>
      <c r="G20" s="32" t="n"/>
      <c r="H20" s="32" t="n"/>
      <c r="I20" s="32" t="n"/>
      <c r="J20" s="32" t="n"/>
    </row>
    <row r="21">
      <c r="A21" s="34" t="n"/>
      <c r="B21" s="34" t="n"/>
      <c r="C21" s="55">
        <f>IF(B21="","",IFERROR(VLOOKUP(B21, Contratos!$A$4:$E$100, 5, FALSE), "⚠️ Contrato no existe"))</f>
        <v/>
      </c>
      <c r="D21" s="34" t="n"/>
      <c r="E21" s="52" t="n"/>
      <c r="F21" s="34" t="n"/>
      <c r="G21" s="34" t="n"/>
      <c r="H21" s="34" t="n"/>
      <c r="I21" s="34" t="n"/>
      <c r="J21" s="34" t="n"/>
    </row>
    <row r="22">
      <c r="A22" s="32" t="n"/>
      <c r="B22" s="32" t="n"/>
      <c r="C22" s="54">
        <f>IF(B22="","",IFERROR(VLOOKUP(B22, Contratos!$A$4:$E$100, 5, FALSE), "⚠️ Contrato no existe"))</f>
        <v/>
      </c>
      <c r="D22" s="32" t="n"/>
      <c r="E22" s="49" t="n"/>
      <c r="F22" s="32" t="n"/>
      <c r="G22" s="32" t="n"/>
      <c r="H22" s="32" t="n"/>
      <c r="I22" s="32" t="n"/>
      <c r="J22" s="32" t="n"/>
    </row>
    <row r="23">
      <c r="A23" s="34" t="n"/>
      <c r="B23" s="34" t="n"/>
      <c r="C23" s="55">
        <f>IF(B23="","",IFERROR(VLOOKUP(B23, Contratos!$A$4:$E$100, 5, FALSE), "⚠️ Contrato no existe"))</f>
        <v/>
      </c>
      <c r="D23" s="34" t="n"/>
      <c r="E23" s="52" t="n"/>
      <c r="F23" s="34" t="n"/>
      <c r="G23" s="34" t="n"/>
      <c r="H23" s="34" t="n"/>
      <c r="I23" s="34" t="n"/>
      <c r="J23" s="34" t="n"/>
    </row>
    <row r="24">
      <c r="A24" s="32" t="n"/>
      <c r="B24" s="32" t="n"/>
      <c r="C24" s="54">
        <f>IF(B24="","",IFERROR(VLOOKUP(B24, Contratos!$A$4:$E$100, 5, FALSE), "⚠️ Contrato no existe"))</f>
        <v/>
      </c>
      <c r="D24" s="32" t="n"/>
      <c r="E24" s="49" t="n"/>
      <c r="F24" s="32" t="n"/>
      <c r="G24" s="32" t="n"/>
      <c r="H24" s="32" t="n"/>
      <c r="I24" s="32" t="n"/>
      <c r="J24" s="32" t="n"/>
    </row>
    <row r="25">
      <c r="A25" s="34" t="n"/>
      <c r="B25" s="34" t="n"/>
      <c r="C25" s="55">
        <f>IF(B25="","",IFERROR(VLOOKUP(B25, Contratos!$A$4:$E$100, 5, FALSE), "⚠️ Contrato no existe"))</f>
        <v/>
      </c>
      <c r="D25" s="34" t="n"/>
      <c r="E25" s="52" t="n"/>
      <c r="F25" s="34" t="n"/>
      <c r="G25" s="34" t="n"/>
      <c r="H25" s="34" t="n"/>
      <c r="I25" s="34" t="n"/>
      <c r="J25" s="34" t="n"/>
    </row>
    <row r="26">
      <c r="A26" s="32" t="n"/>
      <c r="B26" s="32" t="n"/>
      <c r="C26" s="54">
        <f>IF(B26="","",IFERROR(VLOOKUP(B26, Contratos!$A$4:$E$100, 5, FALSE), "⚠️ Contrato no existe"))</f>
        <v/>
      </c>
      <c r="D26" s="32" t="n"/>
      <c r="E26" s="49" t="n"/>
      <c r="F26" s="32" t="n"/>
      <c r="G26" s="32" t="n"/>
      <c r="H26" s="32" t="n"/>
      <c r="I26" s="32" t="n"/>
      <c r="J26" s="32" t="n"/>
    </row>
    <row r="27">
      <c r="A27" s="34" t="n"/>
      <c r="B27" s="34" t="n"/>
      <c r="C27" s="55">
        <f>IF(B27="","",IFERROR(VLOOKUP(B27, Contratos!$A$4:$E$100, 5, FALSE), "⚠️ Contrato no existe"))</f>
        <v/>
      </c>
      <c r="D27" s="34" t="n"/>
      <c r="E27" s="52" t="n"/>
      <c r="F27" s="34" t="n"/>
      <c r="G27" s="34" t="n"/>
      <c r="H27" s="34" t="n"/>
      <c r="I27" s="34" t="n"/>
      <c r="J27" s="34" t="n"/>
    </row>
    <row r="28">
      <c r="A28" s="32" t="n"/>
      <c r="B28" s="32" t="n"/>
      <c r="C28" s="54">
        <f>IF(B28="","",IFERROR(VLOOKUP(B28, Contratos!$A$4:$E$100, 5, FALSE), "⚠️ Contrato no existe"))</f>
        <v/>
      </c>
      <c r="D28" s="32" t="n"/>
      <c r="E28" s="49" t="n"/>
      <c r="F28" s="32" t="n"/>
      <c r="G28" s="32" t="n"/>
      <c r="H28" s="32" t="n"/>
      <c r="I28" s="32" t="n"/>
      <c r="J28" s="32" t="n"/>
    </row>
    <row r="29">
      <c r="A29" s="34" t="n"/>
      <c r="B29" s="34" t="n"/>
      <c r="C29" s="55">
        <f>IF(B29="","",IFERROR(VLOOKUP(B29, Contratos!$A$4:$E$100, 5, FALSE), "⚠️ Contrato no existe"))</f>
        <v/>
      </c>
      <c r="D29" s="34" t="n"/>
      <c r="E29" s="52" t="n"/>
      <c r="F29" s="34" t="n"/>
      <c r="G29" s="34" t="n"/>
      <c r="H29" s="34" t="n"/>
      <c r="I29" s="34" t="n"/>
      <c r="J29" s="34" t="n"/>
    </row>
    <row r="30">
      <c r="A30" s="32" t="n"/>
      <c r="B30" s="32" t="n"/>
      <c r="C30" s="54">
        <f>IF(B30="","",IFERROR(VLOOKUP(B30, Contratos!$A$4:$E$100, 5, FALSE), "⚠️ Contrato no existe"))</f>
        <v/>
      </c>
      <c r="D30" s="32" t="n"/>
      <c r="E30" s="49" t="n"/>
      <c r="F30" s="32" t="n"/>
      <c r="G30" s="32" t="n"/>
      <c r="H30" s="32" t="n"/>
      <c r="I30" s="32" t="n"/>
      <c r="J30" s="32" t="n"/>
    </row>
    <row r="31">
      <c r="A31" s="34" t="n"/>
      <c r="B31" s="34" t="n"/>
      <c r="C31" s="55">
        <f>IF(B31="","",IFERROR(VLOOKUP(B31, Contratos!$A$4:$E$100, 5, FALSE), "⚠️ Contrato no existe"))</f>
        <v/>
      </c>
      <c r="D31" s="34" t="n"/>
      <c r="E31" s="52" t="n"/>
      <c r="F31" s="34" t="n"/>
      <c r="G31" s="34" t="n"/>
      <c r="H31" s="34" t="n"/>
      <c r="I31" s="34" t="n"/>
      <c r="J31" s="34" t="n"/>
    </row>
    <row r="32">
      <c r="A32" s="32" t="n"/>
      <c r="B32" s="32" t="n"/>
      <c r="C32" s="54">
        <f>IF(B32="","",IFERROR(VLOOKUP(B32, Contratos!$A$4:$E$100, 5, FALSE), "⚠️ Contrato no existe"))</f>
        <v/>
      </c>
      <c r="D32" s="32" t="n"/>
      <c r="E32" s="49" t="n"/>
      <c r="F32" s="32" t="n"/>
      <c r="G32" s="32" t="n"/>
      <c r="H32" s="32" t="n"/>
      <c r="I32" s="32" t="n"/>
      <c r="J32" s="32" t="n"/>
    </row>
    <row r="33">
      <c r="A33" s="34" t="n"/>
      <c r="B33" s="34" t="n"/>
      <c r="C33" s="55">
        <f>IF(B33="","",IFERROR(VLOOKUP(B33, Contratos!$A$4:$E$100, 5, FALSE), "⚠️ Contrato no existe"))</f>
        <v/>
      </c>
      <c r="D33" s="34" t="n"/>
      <c r="E33" s="52" t="n"/>
      <c r="F33" s="34" t="n"/>
      <c r="G33" s="34" t="n"/>
      <c r="H33" s="34" t="n"/>
      <c r="I33" s="34" t="n"/>
      <c r="J33" s="34" t="n"/>
    </row>
    <row r="34">
      <c r="A34" s="32" t="n"/>
      <c r="B34" s="32" t="n"/>
      <c r="C34" s="54">
        <f>IF(B34="","",IFERROR(VLOOKUP(B34, Contratos!$A$4:$E$100, 5, FALSE), "⚠️ Contrato no existe"))</f>
        <v/>
      </c>
      <c r="D34" s="32" t="n"/>
      <c r="E34" s="49" t="n"/>
      <c r="F34" s="32" t="n"/>
      <c r="G34" s="32" t="n"/>
      <c r="H34" s="32" t="n"/>
      <c r="I34" s="32" t="n"/>
      <c r="J34" s="32" t="n"/>
    </row>
    <row r="35">
      <c r="A35" s="34" t="n"/>
      <c r="B35" s="34" t="n"/>
      <c r="C35" s="55">
        <f>IF(B35="","",IFERROR(VLOOKUP(B35, Contratos!$A$4:$E$100, 5, FALSE), "⚠️ Contrato no existe"))</f>
        <v/>
      </c>
      <c r="D35" s="34" t="n"/>
      <c r="E35" s="52" t="n"/>
      <c r="F35" s="34" t="n"/>
      <c r="G35" s="34" t="n"/>
      <c r="H35" s="34" t="n"/>
      <c r="I35" s="34" t="n"/>
      <c r="J35" s="34" t="n"/>
    </row>
    <row r="36">
      <c r="A36" s="32" t="n"/>
      <c r="B36" s="32" t="n"/>
      <c r="C36" s="54">
        <f>IF(B36="","",IFERROR(VLOOKUP(B36, Contratos!$A$4:$E$100, 5, FALSE), "⚠️ Contrato no existe"))</f>
        <v/>
      </c>
      <c r="D36" s="32" t="n"/>
      <c r="E36" s="49" t="n"/>
      <c r="F36" s="32" t="n"/>
      <c r="G36" s="32" t="n"/>
      <c r="H36" s="32" t="n"/>
      <c r="I36" s="32" t="n"/>
      <c r="J36" s="32" t="n"/>
    </row>
    <row r="37">
      <c r="A37" s="34" t="n"/>
      <c r="B37" s="34" t="n"/>
      <c r="C37" s="55">
        <f>IF(B37="","",IFERROR(VLOOKUP(B37, Contratos!$A$4:$E$100, 5, FALSE), "⚠️ Contrato no existe"))</f>
        <v/>
      </c>
      <c r="D37" s="34" t="n"/>
      <c r="E37" s="52" t="n"/>
      <c r="F37" s="34" t="n"/>
      <c r="G37" s="34" t="n"/>
      <c r="H37" s="34" t="n"/>
      <c r="I37" s="34" t="n"/>
      <c r="J37" s="34" t="n"/>
    </row>
    <row r="38">
      <c r="A38" s="32" t="n"/>
      <c r="B38" s="32" t="n"/>
      <c r="C38" s="54">
        <f>IF(B38="","",IFERROR(VLOOKUP(B38, Contratos!$A$4:$E$100, 5, FALSE), "⚠️ Contrato no existe"))</f>
        <v/>
      </c>
      <c r="D38" s="32" t="n"/>
      <c r="E38" s="49" t="n"/>
      <c r="F38" s="32" t="n"/>
      <c r="G38" s="32" t="n"/>
      <c r="H38" s="32" t="n"/>
      <c r="I38" s="32" t="n"/>
      <c r="J38" s="32" t="n"/>
    </row>
    <row r="39">
      <c r="A39" s="34" t="n"/>
      <c r="B39" s="34" t="n"/>
      <c r="C39" s="55">
        <f>IF(B39="","",IFERROR(VLOOKUP(B39, Contratos!$A$4:$E$100, 5, FALSE), "⚠️ Contrato no existe"))</f>
        <v/>
      </c>
      <c r="D39" s="34" t="n"/>
      <c r="E39" s="52" t="n"/>
      <c r="F39" s="34" t="n"/>
      <c r="G39" s="34" t="n"/>
      <c r="H39" s="34" t="n"/>
      <c r="I39" s="34" t="n"/>
      <c r="J39" s="34" t="n"/>
    </row>
    <row r="40">
      <c r="A40" s="32" t="n"/>
      <c r="B40" s="32" t="n"/>
      <c r="C40" s="54">
        <f>IF(B40="","",IFERROR(VLOOKUP(B40, Contratos!$A$4:$E$100, 5, FALSE), "⚠️ Contrato no existe"))</f>
        <v/>
      </c>
      <c r="D40" s="32" t="n"/>
      <c r="E40" s="49" t="n"/>
      <c r="F40" s="32" t="n"/>
      <c r="G40" s="32" t="n"/>
      <c r="H40" s="32" t="n"/>
      <c r="I40" s="32" t="n"/>
      <c r="J40" s="32" t="n"/>
    </row>
    <row r="41">
      <c r="A41" s="34" t="n"/>
      <c r="B41" s="34" t="n"/>
      <c r="C41" s="55">
        <f>IF(B41="","",IFERROR(VLOOKUP(B41, Contratos!$A$4:$E$100, 5, FALSE), "⚠️ Contrato no existe"))</f>
        <v/>
      </c>
      <c r="D41" s="34" t="n"/>
      <c r="E41" s="52" t="n"/>
      <c r="F41" s="34" t="n"/>
      <c r="G41" s="34" t="n"/>
      <c r="H41" s="34" t="n"/>
      <c r="I41" s="34" t="n"/>
      <c r="J41" s="34" t="n"/>
    </row>
    <row r="42">
      <c r="A42" s="32" t="n"/>
      <c r="B42" s="32" t="n"/>
      <c r="C42" s="54">
        <f>IF(B42="","",IFERROR(VLOOKUP(B42, Contratos!$A$4:$E$100, 5, FALSE), "⚠️ Contrato no existe"))</f>
        <v/>
      </c>
      <c r="D42" s="32" t="n"/>
      <c r="E42" s="49" t="n"/>
      <c r="F42" s="32" t="n"/>
      <c r="G42" s="32" t="n"/>
      <c r="H42" s="32" t="n"/>
      <c r="I42" s="32" t="n"/>
      <c r="J42" s="32" t="n"/>
    </row>
    <row r="43">
      <c r="A43" s="34" t="n"/>
      <c r="B43" s="34" t="n"/>
      <c r="C43" s="55">
        <f>IF(B43="","",IFERROR(VLOOKUP(B43, Contratos!$A$4:$E$100, 5, FALSE), "⚠️ Contrato no existe"))</f>
        <v/>
      </c>
      <c r="D43" s="34" t="n"/>
      <c r="E43" s="52" t="n"/>
      <c r="F43" s="34" t="n"/>
      <c r="G43" s="34" t="n"/>
      <c r="H43" s="34" t="n"/>
      <c r="I43" s="34" t="n"/>
      <c r="J43" s="34" t="n"/>
    </row>
    <row r="44">
      <c r="A44" s="32" t="n"/>
      <c r="B44" s="32" t="n"/>
      <c r="C44" s="54">
        <f>IF(B44="","",IFERROR(VLOOKUP(B44, Contratos!$A$4:$E$100, 5, FALSE), "⚠️ Contrato no existe"))</f>
        <v/>
      </c>
      <c r="D44" s="32" t="n"/>
      <c r="E44" s="49" t="n"/>
      <c r="F44" s="32" t="n"/>
      <c r="G44" s="32" t="n"/>
      <c r="H44" s="32" t="n"/>
      <c r="I44" s="32" t="n"/>
      <c r="J44" s="32" t="n"/>
    </row>
  </sheetData>
  <conditionalFormatting sqref="H4:H50">
    <cfRule type="cellIs" priority="1" operator="equal" dxfId="0">
      <formula>"Comprobado"</formula>
    </cfRule>
    <cfRule type="cellIs" priority="2" operator="equal" dxfId="1">
      <formula>"Pendiente"</formula>
    </cfRule>
    <cfRule type="cellIs" priority="3" operator="equal" dxfId="2">
      <formula>"Corregido"</formula>
    </cfRule>
  </conditionalFormatting>
  <dataValidations count="2">
    <dataValidation sqref="F4:F50" showDropDown="0" showInputMessage="0" showErrorMessage="0" allowBlank="1" type="list">
      <formula1>=ListaMetodosCobro</formula1>
    </dataValidation>
    <dataValidation sqref="H4:H50" showDropDown="0" showInputMessage="0" showErrorMessage="0" allowBlank="1" type="list">
      <formula1>=ListaEstadosCobro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FF475569"/>
    <outlinePr summaryBelow="1" summaryRight="1"/>
    <pageSetUpPr/>
  </sheetPr>
  <dimension ref="A1:G18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36" customWidth="1" min="2" max="2"/>
    <col width="85" customWidth="1" min="3" max="3"/>
    <col width="18" customWidth="1" min="4" max="4"/>
    <col width="20" customWidth="1" min="5" max="5"/>
    <col width="22" customWidth="1" min="6" max="6"/>
    <col width="20" customWidth="1" min="7" max="7"/>
  </cols>
  <sheetData>
    <row r="1">
      <c r="A1" s="1" t="inlineStr">
        <is>
          <t>GESTIONATRASTEROS · DICCIONARIO Y LISTAS MAESTRAS</t>
        </is>
      </c>
    </row>
    <row r="2">
      <c r="A2" s="3" t="inlineStr">
        <is>
          <t>Tablas de control para menús desplegables y reglas de validación de datos</t>
        </is>
      </c>
    </row>
    <row r="4">
      <c r="A4" s="12" t="inlineStr">
        <is>
          <t>Centros</t>
        </is>
      </c>
      <c r="B4" s="12" t="inlineStr">
        <is>
          <t>Estados Unidad</t>
        </is>
      </c>
      <c r="C4" s="12" t="inlineStr">
        <is>
          <t>Tipos Cliente</t>
        </is>
      </c>
      <c r="D4" s="12" t="inlineStr">
        <is>
          <t>Estados Cliente</t>
        </is>
      </c>
      <c r="E4" s="12" t="inlineStr">
        <is>
          <t>Estados Contrato</t>
        </is>
      </c>
      <c r="F4" s="12" t="inlineStr">
        <is>
          <t>Métodos Cobro</t>
        </is>
      </c>
      <c r="G4" s="12" t="inlineStr">
        <is>
          <t>Estados Cobro</t>
        </is>
      </c>
    </row>
    <row r="5">
      <c r="A5" s="16" t="inlineStr">
        <is>
          <t>CTR-001</t>
        </is>
      </c>
      <c r="B5" s="16" t="inlineStr">
        <is>
          <t>Disponible</t>
        </is>
      </c>
      <c r="C5" s="16" t="inlineStr">
        <is>
          <t>Particular</t>
        </is>
      </c>
      <c r="D5" s="16" t="inlineStr">
        <is>
          <t>Activo</t>
        </is>
      </c>
      <c r="E5" s="16" t="inlineStr">
        <is>
          <t>Activo</t>
        </is>
      </c>
      <c r="F5" s="16" t="inlineStr">
        <is>
          <t>Transferencia</t>
        </is>
      </c>
      <c r="G5" s="16" t="inlineStr">
        <is>
          <t>Comprobado</t>
        </is>
      </c>
    </row>
    <row r="6">
      <c r="A6" s="16" t="inlineStr">
        <is>
          <t>CTR-002</t>
        </is>
      </c>
      <c r="B6" s="16" t="inlineStr">
        <is>
          <t>Ocupada</t>
        </is>
      </c>
      <c r="C6" s="16" t="inlineStr">
        <is>
          <t>Empresa</t>
        </is>
      </c>
      <c r="D6" s="16" t="inlineStr">
        <is>
          <t>Archivado</t>
        </is>
      </c>
      <c r="E6" s="16" t="inlineStr">
        <is>
          <t>Borrador</t>
        </is>
      </c>
      <c r="F6" s="16" t="inlineStr">
        <is>
          <t>Tarjeta bancaria</t>
        </is>
      </c>
      <c r="G6" s="16" t="inlineStr">
        <is>
          <t>Pendiente</t>
        </is>
      </c>
    </row>
    <row r="7">
      <c r="A7" s="16" t="inlineStr">
        <is>
          <t>CTR-003</t>
        </is>
      </c>
      <c r="B7" s="16" t="inlineStr">
        <is>
          <t>No rentable temporalmente</t>
        </is>
      </c>
      <c r="E7" s="16" t="inlineStr">
        <is>
          <t>Finalizado</t>
        </is>
      </c>
      <c r="F7" s="16" t="inlineStr">
        <is>
          <t>Domiciliación</t>
        </is>
      </c>
      <c r="G7" s="16" t="inlineStr">
        <is>
          <t>Corregido</t>
        </is>
      </c>
    </row>
    <row r="8">
      <c r="A8" s="16" t="inlineStr">
        <is>
          <t>CTR-004</t>
        </is>
      </c>
      <c r="B8" s="16" t="inlineStr">
        <is>
          <t>Fuera de inventario</t>
        </is>
      </c>
      <c r="E8" s="16" t="inlineStr">
        <is>
          <t>Cancelado</t>
        </is>
      </c>
      <c r="F8" s="16" t="inlineStr">
        <is>
          <t>Efectivo</t>
        </is>
      </c>
    </row>
    <row r="11">
      <c r="A11" s="56" t="inlineStr">
        <is>
          <t>DICCIONARIO OPERATIVO Y CRITERIOS DE CONTROL</t>
        </is>
      </c>
    </row>
    <row r="12">
      <c r="A12" s="57" t="inlineStr">
        <is>
          <t>Entidad / Concepto</t>
        </is>
      </c>
      <c r="B12" s="57" t="inlineStr">
        <is>
          <t>Criterio de la Plantilla</t>
        </is>
      </c>
      <c r="C12" s="57" t="inlineStr">
        <is>
          <t>Regla de Negocio y Control</t>
        </is>
      </c>
    </row>
    <row r="13">
      <c r="A13" s="58" t="inlineStr">
        <is>
          <t>Capacidad Rentable</t>
        </is>
      </c>
      <c r="B13" s="59" t="inlineStr">
        <is>
          <t>Disponible + Ocupada</t>
        </is>
      </c>
      <c r="C13" s="59" t="inlineStr">
        <is>
          <t>Constituye el denominador estándar para el % de ocupación. Excluye unidades en obras o fuera de oferta para que las comparativas sean homogéneas mes a mes.</t>
        </is>
      </c>
    </row>
    <row r="14">
      <c r="A14" s="60" t="inlineStr">
        <is>
          <t>Unidad Ocupada</t>
        </is>
      </c>
      <c r="B14" s="61" t="inlineStr">
        <is>
          <t>Contrato activo y entrega de acceso</t>
        </is>
      </c>
      <c r="C14" s="61" t="inlineStr">
        <is>
          <t>El estado responde al contrato activo y entrega efectiva, nunca a un simple nombre de cliente ni a una reserva verbal.</t>
        </is>
      </c>
    </row>
    <row r="15">
      <c r="A15" s="58" t="inlineStr">
        <is>
          <t>No Rentable Temporalmente</t>
        </is>
      </c>
      <c r="B15" s="59" t="inlineStr">
        <is>
          <t>Bloqueo por avería, mantenimiento o pintura</t>
        </is>
      </c>
      <c r="C15" s="59" t="inlineStr">
        <is>
          <t>Exige documentar el motivo de bloqueo y fecha. Se revisa semanalmente para devolverla a disponible en cuanto se resuelva.</t>
        </is>
      </c>
    </row>
    <row r="16">
      <c r="A16" s="60" t="inlineStr">
        <is>
          <t>Fuera de Inventario</t>
        </is>
      </c>
      <c r="B16" s="61" t="inlineStr">
        <is>
          <t>Destinada a uso interno o desmantelada</t>
        </is>
      </c>
      <c r="C16" s="61" t="inlineStr">
        <is>
          <t>Trasteros retirados de la comercialización (p. ej. almacén de herramientas propio o ampliación de pasillo).</t>
        </is>
      </c>
    </row>
    <row r="17">
      <c r="A17" s="58" t="inlineStr">
        <is>
          <t>Cobros Manuales</t>
        </is>
      </c>
      <c r="B17" s="59" t="inlineStr">
        <is>
          <t>Registro individual de cobro recibido</t>
        </is>
      </c>
      <c r="C17" s="59" t="inlineStr">
        <is>
          <t>Cada cobro es un movimiento vertical, no una columna del mes. Un registro manual refleja una anotación; no equivale a conciliación automática bancaria ni sustituye la facturación legal.</t>
        </is>
      </c>
    </row>
    <row r="18">
      <c r="A18" s="60" t="inlineStr">
        <is>
          <t>Protección de Datos (AEPD)</t>
        </is>
      </c>
      <c r="B18" s="61" t="inlineStr">
        <is>
          <t>Minimización y separación de entidades</t>
        </is>
      </c>
      <c r="C18" s="61" t="inlineStr">
        <is>
          <t>No almacenar datos bancarios sensibles (tarjetas, CVV) ni contraseñas. Vincular los documentos mediante referencias a repositorios seguros.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2026-09-07T02:44:08Z</dcterms:created>
  <dcterms:modified xsi:type="dcterms:W3CDTF">2026-09-07T02:44:08Z</dcterms:modified>
</cp:coreProperties>
</file>